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drawing1.xml" ContentType="application/vnd.openxmlformats-officedocument.drawing+xml"/>
  <Override PartName="/xl/drawings/vmlDrawing4.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1 Context" sheetId="2" state="visible" r:id="rId4"/>
    <sheet name="2 Actors &amp; tempo" sheetId="3" state="visible" r:id="rId5"/>
    <sheet name="3 Capabilities" sheetId="4" state="visible" r:id="rId6"/>
    <sheet name="4 Lattice" sheetId="5" state="visible" r:id="rId7"/>
    <sheet name="5 Results" sheetId="6" state="visible" r:id="rId8"/>
    <sheet name="6 Blueprint" sheetId="7" state="visible" r:id="rId9"/>
    <sheet name="Reference" sheetId="8" state="visible" r:id="rId10"/>
  </sheets>
  <definedNames>
    <definedName function="false" hidden="false" localSheetId="3" name="_xlnm.Print_Titles" vbProcedure="false">'3 Capabilities'!$4:$4</definedName>
    <definedName function="false" hidden="false" localSheetId="4" name="_xlnm.Print_Titles" vbProcedure="false">'4 Lattice'!$4:$4</definedName>
    <definedName function="false" hidden="false" localSheetId="6" name="_xlnm.Print_Titles" vbProcedure="false">'6 Blueprint'!$4:$4</definedName>
    <definedName function="false" hidden="true" localSheetId="6" name="_xlnm._FilterDatabase" vbProcedure="false">'6 Blueprint'!$A$4:$K$62</definedName>
  </definedNames>
  <calcPr iterateCount="100" refMode="A1" iterate="false" iterateDelta="0.0001"/>
</workbook>
</file>

<file path=xl/comments2.xml><?xml version="1.0" encoding="utf-8"?>
<comments xmlns="http://schemas.openxmlformats.org/spreadsheetml/2006/main" xmlns:xdr="http://schemas.openxmlformats.org/drawingml/2006/spreadsheetDrawing">
  <authors>
    <author>Unknown Author</author>
  </authors>
  <commentList>
    <comment ref="C11" authorId="0">
      <text>
        <r>
          <rPr>
            <sz val="10"/>
            <rFont val="Arial"/>
            <family val="2"/>
          </rPr>
          <t xml:space="preserve">pulse caps the band at L3 · baseline caps at L4 · assurance has no ceiling from depth.</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C6" authorId="0">
      <text>
        <r>
          <rPr>
            <sz val="10"/>
            <rFont val="Arial"/>
            <family val="2"/>
          </rPr>
          <t xml:space="preserve">Auto-filled from the preset. Overtype it with your own measured figure if you have one — a measured figure is always better than a published average.</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I5" authorId="0">
      <text>
        <r>
          <rPr>
            <sz val="10"/>
            <rFont val="Arial"/>
            <family val="2"/>
          </rPr>
          <t xml:space="preserve">Date of the most recent proof. Required for VC3: specification section 3.6 expires proof at 12 months, and undated proof grades as VC2.</t>
        </r>
      </text>
    </comment>
    <comment ref="I6" authorId="0">
      <text>
        <r>
          <rPr>
            <sz val="10"/>
            <rFont val="Arial"/>
            <family val="2"/>
          </rPr>
          <t xml:space="preserve">Date of the most recent proof. Required for VC3: specification section 3.6 expires proof at 12 months, and undated proof grades as VC2.</t>
        </r>
      </text>
    </comment>
    <comment ref="I7" authorId="0">
      <text>
        <r>
          <rPr>
            <sz val="10"/>
            <rFont val="Arial"/>
            <family val="2"/>
          </rPr>
          <t xml:space="preserve">Date of the most recent proof. Required for VC3: specification section 3.6 expires proof at 12 months, and undated proof grades as VC2.</t>
        </r>
      </text>
    </comment>
    <comment ref="I8" authorId="0">
      <text>
        <r>
          <rPr>
            <sz val="10"/>
            <rFont val="Arial"/>
            <family val="2"/>
          </rPr>
          <t xml:space="preserve">Date of the most recent proof. Required for VC3: specification section 3.6 expires proof at 12 months, and undated proof grades as VC2.</t>
        </r>
      </text>
    </comment>
    <comment ref="I9" authorId="0">
      <text>
        <r>
          <rPr>
            <sz val="10"/>
            <rFont val="Arial"/>
            <family val="2"/>
          </rPr>
          <t xml:space="preserve">Date of the most recent proof. Required for VC3: specification section 3.6 expires proof at 12 months, and undated proof grades as VC2.</t>
        </r>
      </text>
    </comment>
    <comment ref="I10" authorId="0">
      <text>
        <r>
          <rPr>
            <sz val="10"/>
            <rFont val="Arial"/>
            <family val="2"/>
          </rPr>
          <t xml:space="preserve">Date of the most recent proof. Required for VC3: specification section 3.6 expires proof at 12 months, and undated proof grades as VC2.</t>
        </r>
      </text>
    </comment>
    <comment ref="I11" authorId="0">
      <text>
        <r>
          <rPr>
            <sz val="10"/>
            <rFont val="Arial"/>
            <family val="2"/>
          </rPr>
          <t xml:space="preserve">Date of the most recent proof. Required for VC3: specification section 3.6 expires proof at 12 months, and undated proof grades as VC2.</t>
        </r>
      </text>
    </comment>
    <comment ref="I12" authorId="0">
      <text>
        <r>
          <rPr>
            <sz val="10"/>
            <rFont val="Arial"/>
            <family val="2"/>
          </rPr>
          <t xml:space="preserve">Date of the most recent proof. Required for VC3: specification section 3.6 expires proof at 12 months, and undated proof grades as VC2.</t>
        </r>
      </text>
    </comment>
    <comment ref="I13" authorId="0">
      <text>
        <r>
          <rPr>
            <sz val="10"/>
            <rFont val="Arial"/>
            <family val="2"/>
          </rPr>
          <t xml:space="preserve">Date of the most recent proof. Required for VC3: specification section 3.6 expires proof at 12 months, and undated proof grades as VC2.</t>
        </r>
      </text>
    </comment>
    <comment ref="I14" authorId="0">
      <text>
        <r>
          <rPr>
            <sz val="10"/>
            <rFont val="Arial"/>
            <family val="2"/>
          </rPr>
          <t xml:space="preserve">Date of the most recent proof. Required for VC3: specification section 3.6 expires proof at 12 months, and undated proof grades as VC2.</t>
        </r>
      </text>
    </comment>
    <comment ref="I15" authorId="0">
      <text>
        <r>
          <rPr>
            <sz val="10"/>
            <rFont val="Arial"/>
            <family val="2"/>
          </rPr>
          <t xml:space="preserve">Date of the most recent proof. Required for VC3: specification section 3.6 expires proof at 12 months, and undated proof grades as VC2.</t>
        </r>
      </text>
    </comment>
    <comment ref="I16" authorId="0">
      <text>
        <r>
          <rPr>
            <sz val="10"/>
            <rFont val="Arial"/>
            <family val="2"/>
          </rPr>
          <t xml:space="preserve">Date of the most recent proof. Required for VC3: specification section 3.6 expires proof at 12 months, and undated proof grades as VC2.</t>
        </r>
      </text>
    </comment>
    <comment ref="I17" authorId="0">
      <text>
        <r>
          <rPr>
            <sz val="10"/>
            <rFont val="Arial"/>
            <family val="2"/>
          </rPr>
          <t xml:space="preserve">Date of the most recent proof. Required for VC3: specification section 3.6 expires proof at 12 months, and undated proof grades as VC2.</t>
        </r>
      </text>
    </comment>
    <comment ref="I18" authorId="0">
      <text>
        <r>
          <rPr>
            <sz val="10"/>
            <rFont val="Arial"/>
            <family val="2"/>
          </rPr>
          <t xml:space="preserve">Date of the most recent proof. Required for VC3: specification section 3.6 expires proof at 12 months, and undated proof grades as VC2.</t>
        </r>
      </text>
    </comment>
    <comment ref="I19" authorId="0">
      <text>
        <r>
          <rPr>
            <sz val="10"/>
            <rFont val="Arial"/>
            <family val="2"/>
          </rPr>
          <t xml:space="preserve">Date of the most recent proof. Required for VC3: specification section 3.6 expires proof at 12 months, and undated proof grades as VC2.</t>
        </r>
      </text>
    </comment>
    <comment ref="I20" authorId="0">
      <text>
        <r>
          <rPr>
            <sz val="10"/>
            <rFont val="Arial"/>
            <family val="2"/>
          </rPr>
          <t xml:space="preserve">Date of the most recent proof. Required for VC3: specification section 3.6 expires proof at 12 months, and undated proof grades as VC2.</t>
        </r>
      </text>
    </comment>
    <comment ref="I21" authorId="0">
      <text>
        <r>
          <rPr>
            <sz val="10"/>
            <rFont val="Arial"/>
            <family val="2"/>
          </rPr>
          <t xml:space="preserve">Date of the most recent proof. Required for VC3: specification section 3.6 expires proof at 12 months, and undated proof grades as VC2.</t>
        </r>
      </text>
    </comment>
    <comment ref="I22" authorId="0">
      <text>
        <r>
          <rPr>
            <sz val="10"/>
            <rFont val="Arial"/>
            <family val="2"/>
          </rPr>
          <t xml:space="preserve">Date of the most recent proof. Required for VC3: specification section 3.6 expires proof at 12 months, and undated proof grades as VC2.</t>
        </r>
      </text>
    </comment>
    <comment ref="I23" authorId="0">
      <text>
        <r>
          <rPr>
            <sz val="10"/>
            <rFont val="Arial"/>
            <family val="2"/>
          </rPr>
          <t xml:space="preserve">Date of the most recent proof. Required for VC3: specification section 3.6 expires proof at 12 months, and undated proof grades as VC2.</t>
        </r>
      </text>
    </comment>
    <comment ref="I24" authorId="0">
      <text>
        <r>
          <rPr>
            <sz val="10"/>
            <rFont val="Arial"/>
            <family val="2"/>
          </rPr>
          <t xml:space="preserve">Date of the most recent proof. Required for VC3: specification section 3.6 expires proof at 12 months, and undated proof grades as VC2.</t>
        </r>
      </text>
    </comment>
    <comment ref="I25" authorId="0">
      <text>
        <r>
          <rPr>
            <sz val="10"/>
            <rFont val="Arial"/>
            <family val="2"/>
          </rPr>
          <t xml:space="preserve">Date of the most recent proof. Required for VC3: specification section 3.6 expires proof at 12 months, and undated proof grades as VC2.</t>
        </r>
      </text>
    </comment>
    <comment ref="I26" authorId="0">
      <text>
        <r>
          <rPr>
            <sz val="10"/>
            <rFont val="Arial"/>
            <family val="2"/>
          </rPr>
          <t xml:space="preserve">Date of the most recent proof. Required for VC3: specification section 3.6 expires proof at 12 months, and undated proof grades as VC2.</t>
        </r>
      </text>
    </comment>
    <comment ref="I27" authorId="0">
      <text>
        <r>
          <rPr>
            <sz val="10"/>
            <rFont val="Arial"/>
            <family val="2"/>
          </rPr>
          <t xml:space="preserve">Date of the most recent proof. Required for VC3: specification section 3.6 expires proof at 12 months, and undated proof grades as VC2.</t>
        </r>
      </text>
    </comment>
    <comment ref="I28" authorId="0">
      <text>
        <r>
          <rPr>
            <sz val="10"/>
            <rFont val="Arial"/>
            <family val="2"/>
          </rPr>
          <t xml:space="preserve">Date of the most recent proof. Required for VC3: specification section 3.6 expires proof at 12 months, and undated proof grades as VC2.</t>
        </r>
      </text>
    </comment>
    <comment ref="I29" authorId="0">
      <text>
        <r>
          <rPr>
            <sz val="10"/>
            <rFont val="Arial"/>
            <family val="2"/>
          </rPr>
          <t xml:space="preserve">Date of the most recent proof. Required for VC3: specification section 3.6 expires proof at 12 months, and undated proof grades as VC2.</t>
        </r>
      </text>
    </comment>
    <comment ref="I30" authorId="0">
      <text>
        <r>
          <rPr>
            <sz val="10"/>
            <rFont val="Arial"/>
            <family val="2"/>
          </rPr>
          <t xml:space="preserve">Date of the most recent proof. Required for VC3: specification section 3.6 expires proof at 12 months, and undated proof grades as VC2.</t>
        </r>
      </text>
    </comment>
    <comment ref="I31" authorId="0">
      <text>
        <r>
          <rPr>
            <sz val="10"/>
            <rFont val="Arial"/>
            <family val="2"/>
          </rPr>
          <t xml:space="preserve">Date of the most recent proof. Required for VC3: specification section 3.6 expires proof at 12 months, and undated proof grades as VC2.</t>
        </r>
      </text>
    </comment>
    <comment ref="I32" authorId="0">
      <text>
        <r>
          <rPr>
            <sz val="10"/>
            <rFont val="Arial"/>
            <family val="2"/>
          </rPr>
          <t xml:space="preserve">Date of the most recent proof. Required for VC3: specification section 3.6 expires proof at 12 months, and undated proof grades as VC2.</t>
        </r>
      </text>
    </comment>
    <comment ref="I33" authorId="0">
      <text>
        <r>
          <rPr>
            <sz val="10"/>
            <rFont val="Arial"/>
            <family val="2"/>
          </rPr>
          <t xml:space="preserve">Date of the most recent proof. Required for VC3: specification section 3.6 expires proof at 12 months, and undated proof grades as VC2.</t>
        </r>
      </text>
    </comment>
    <comment ref="I34" authorId="0">
      <text>
        <r>
          <rPr>
            <sz val="10"/>
            <rFont val="Arial"/>
            <family val="2"/>
          </rPr>
          <t xml:space="preserve">Date of the most recent proof. Required for VC3: specification section 3.6 expires proof at 12 months, and undated proof grades as VC2.</t>
        </r>
      </text>
    </comment>
    <comment ref="I35" authorId="0">
      <text>
        <r>
          <rPr>
            <sz val="10"/>
            <rFont val="Arial"/>
            <family val="2"/>
          </rPr>
          <t xml:space="preserve">Date of the most recent proof. Required for VC3: specification section 3.6 expires proof at 12 months, and undated proof grades as VC2.</t>
        </r>
      </text>
    </comment>
    <comment ref="I36" authorId="0">
      <text>
        <r>
          <rPr>
            <sz val="10"/>
            <rFont val="Arial"/>
            <family val="2"/>
          </rPr>
          <t xml:space="preserve">Date of the most recent proof. Required for VC3: specification section 3.6 expires proof at 12 months, and undated proof grades as VC2.</t>
        </r>
      </text>
    </comment>
    <comment ref="I37" authorId="0">
      <text>
        <r>
          <rPr>
            <sz val="10"/>
            <rFont val="Arial"/>
            <family val="2"/>
          </rPr>
          <t xml:space="preserve">Date of the most recent proof. Required for VC3: specification section 3.6 expires proof at 12 months, and undated proof grades as VC2.</t>
        </r>
      </text>
    </comment>
    <comment ref="I38" authorId="0">
      <text>
        <r>
          <rPr>
            <sz val="10"/>
            <rFont val="Arial"/>
            <family val="2"/>
          </rPr>
          <t xml:space="preserve">Date of the most recent proof. Required for VC3: specification section 3.6 expires proof at 12 months, and undated proof grades as VC2.</t>
        </r>
      </text>
    </comment>
    <comment ref="I39" authorId="0">
      <text>
        <r>
          <rPr>
            <sz val="10"/>
            <rFont val="Arial"/>
            <family val="2"/>
          </rPr>
          <t xml:space="preserve">Date of the most recent proof. Required for VC3: specification section 3.6 expires proof at 12 months, and undated proof grades as VC2.</t>
        </r>
      </text>
    </comment>
    <comment ref="I40" authorId="0">
      <text>
        <r>
          <rPr>
            <sz val="10"/>
            <rFont val="Arial"/>
            <family val="2"/>
          </rPr>
          <t xml:space="preserve">Date of the most recent proof. Required for VC3: specification section 3.6 expires proof at 12 months, and undated proof grades as VC2.</t>
        </r>
      </text>
    </comment>
    <comment ref="I41" authorId="0">
      <text>
        <r>
          <rPr>
            <sz val="10"/>
            <rFont val="Arial"/>
            <family val="2"/>
          </rPr>
          <t xml:space="preserve">Date of the most recent proof. Required for VC3: specification section 3.6 expires proof at 12 months, and undated proof grades as VC2.</t>
        </r>
      </text>
    </comment>
    <comment ref="I42" authorId="0">
      <text>
        <r>
          <rPr>
            <sz val="10"/>
            <rFont val="Arial"/>
            <family val="2"/>
          </rPr>
          <t xml:space="preserve">Date of the most recent proof. Required for VC3: specification section 3.6 expires proof at 12 months, and undated proof grades as VC2.</t>
        </r>
      </text>
    </comment>
    <comment ref="I43" authorId="0">
      <text>
        <r>
          <rPr>
            <sz val="10"/>
            <rFont val="Arial"/>
            <family val="2"/>
          </rPr>
          <t xml:space="preserve">Date of the most recent proof. Required for VC3: specification section 3.6 expires proof at 12 months, and undated proof grades as VC2.</t>
        </r>
      </text>
    </comment>
    <comment ref="I44" authorId="0">
      <text>
        <r>
          <rPr>
            <sz val="10"/>
            <rFont val="Arial"/>
            <family val="2"/>
          </rPr>
          <t xml:space="preserve">Date of the most recent proof. Required for VC3: specification section 3.6 expires proof at 12 months, and undated proof grades as VC2.</t>
        </r>
      </text>
    </comment>
    <comment ref="I45" authorId="0">
      <text>
        <r>
          <rPr>
            <sz val="10"/>
            <rFont val="Arial"/>
            <family val="2"/>
          </rPr>
          <t xml:space="preserve">Date of the most recent proof. Required for VC3: specification section 3.6 expires proof at 12 months, and undated proof grades as VC2.</t>
        </r>
      </text>
    </comment>
    <comment ref="I46" authorId="0">
      <text>
        <r>
          <rPr>
            <sz val="10"/>
            <rFont val="Arial"/>
            <family val="2"/>
          </rPr>
          <t xml:space="preserve">Date of the most recent proof. Required for VC3: specification section 3.6 expires proof at 12 months, and undated proof grades as VC2.</t>
        </r>
      </text>
    </comment>
    <comment ref="I47" authorId="0">
      <text>
        <r>
          <rPr>
            <sz val="10"/>
            <rFont val="Arial"/>
            <family val="2"/>
          </rPr>
          <t xml:space="preserve">Date of the most recent proof. Required for VC3: specification section 3.6 expires proof at 12 months, and undated proof grades as VC2.</t>
        </r>
      </text>
    </comment>
    <comment ref="I48" authorId="0">
      <text>
        <r>
          <rPr>
            <sz val="10"/>
            <rFont val="Arial"/>
            <family val="2"/>
          </rPr>
          <t xml:space="preserve">Date of the most recent proof. Required for VC3: specification section 3.6 expires proof at 12 months, and undated proof grades as VC2.</t>
        </r>
      </text>
    </comment>
    <comment ref="I49" authorId="0">
      <text>
        <r>
          <rPr>
            <sz val="10"/>
            <rFont val="Arial"/>
            <family val="2"/>
          </rPr>
          <t xml:space="preserve">Date of the most recent proof. Required for VC3: specification section 3.6 expires proof at 12 months, and undated proof grades as VC2.</t>
        </r>
      </text>
    </comment>
    <comment ref="I50" authorId="0">
      <text>
        <r>
          <rPr>
            <sz val="10"/>
            <rFont val="Arial"/>
            <family val="2"/>
          </rPr>
          <t xml:space="preserve">Date of the most recent proof. Required for VC3: specification section 3.6 expires proof at 12 months, and undated proof grades as VC2.</t>
        </r>
      </text>
    </comment>
    <comment ref="I51" authorId="0">
      <text>
        <r>
          <rPr>
            <sz val="10"/>
            <rFont val="Arial"/>
            <family val="2"/>
          </rPr>
          <t xml:space="preserve">Date of the most recent proof. Required for VC3: specification section 3.6 expires proof at 12 months, and undated proof grades as VC2.</t>
        </r>
      </text>
    </comment>
    <comment ref="I52" authorId="0">
      <text>
        <r>
          <rPr>
            <sz val="10"/>
            <rFont val="Arial"/>
            <family val="2"/>
          </rPr>
          <t xml:space="preserve">Date of the most recent proof. Required for VC3: specification section 3.6 expires proof at 12 months, and undated proof grades as VC2.</t>
        </r>
      </text>
    </comment>
    <comment ref="I53" authorId="0">
      <text>
        <r>
          <rPr>
            <sz val="10"/>
            <rFont val="Arial"/>
            <family val="2"/>
          </rPr>
          <t xml:space="preserve">Date of the most recent proof. Required for VC3: specification section 3.6 expires proof at 12 months, and undated proof grades as VC2.</t>
        </r>
      </text>
    </comment>
    <comment ref="I54" authorId="0">
      <text>
        <r>
          <rPr>
            <sz val="10"/>
            <rFont val="Arial"/>
            <family val="2"/>
          </rPr>
          <t xml:space="preserve">Date of the most recent proof. Required for VC3: specification section 3.6 expires proof at 12 months, and undated proof grades as VC2.</t>
        </r>
      </text>
    </comment>
    <comment ref="I55" authorId="0">
      <text>
        <r>
          <rPr>
            <sz val="10"/>
            <rFont val="Arial"/>
            <family val="2"/>
          </rPr>
          <t xml:space="preserve">Date of the most recent proof. Required for VC3: specification section 3.6 expires proof at 12 months, and undated proof grades as VC2.</t>
        </r>
      </text>
    </comment>
    <comment ref="I56" authorId="0">
      <text>
        <r>
          <rPr>
            <sz val="10"/>
            <rFont val="Arial"/>
            <family val="2"/>
          </rPr>
          <t xml:space="preserve">Date of the most recent proof. Required for VC3: specification section 3.6 expires proof at 12 months, and undated proof grades as VC2.</t>
        </r>
      </text>
    </comment>
    <comment ref="I57" authorId="0">
      <text>
        <r>
          <rPr>
            <sz val="10"/>
            <rFont val="Arial"/>
            <family val="2"/>
          </rPr>
          <t xml:space="preserve">Date of the most recent proof. Required for VC3: specification section 3.6 expires proof at 12 months, and undated proof grades as VC2.</t>
        </r>
      </text>
    </comment>
    <comment ref="I58" authorId="0">
      <text>
        <r>
          <rPr>
            <sz val="10"/>
            <rFont val="Arial"/>
            <family val="2"/>
          </rPr>
          <t xml:space="preserve">Date of the most recent proof. Required for VC3: specification section 3.6 expires proof at 12 months, and undated proof grades as VC2.</t>
        </r>
      </text>
    </comment>
    <comment ref="I59" authorId="0">
      <text>
        <r>
          <rPr>
            <sz val="10"/>
            <rFont val="Arial"/>
            <family val="2"/>
          </rPr>
          <t xml:space="preserve">Date of the most recent proof. Required for VC3: specification section 3.6 expires proof at 12 months, and undated proof grades as VC2.</t>
        </r>
      </text>
    </comment>
    <comment ref="I60" authorId="0">
      <text>
        <r>
          <rPr>
            <sz val="10"/>
            <rFont val="Arial"/>
            <family val="2"/>
          </rPr>
          <t xml:space="preserve">Date of the most recent proof. Required for VC3: specification section 3.6 expires proof at 12 months, and undated proof grades as VC2.</t>
        </r>
      </text>
    </comment>
    <comment ref="I61" authorId="0">
      <text>
        <r>
          <rPr>
            <sz val="10"/>
            <rFont val="Arial"/>
            <family val="2"/>
          </rPr>
          <t xml:space="preserve">Date of the most recent proof. Required for VC3: specification section 3.6 expires proof at 12 months, and undated proof grades as VC2.</t>
        </r>
      </text>
    </comment>
    <comment ref="I62" authorId="0">
      <text>
        <r>
          <rPr>
            <sz val="10"/>
            <rFont val="Arial"/>
            <family val="2"/>
          </rPr>
          <t xml:space="preserve">Date of the most recent proof. Required for VC3: specification section 3.6 expires proof at 12 months, and undated proof grades as VC2.</t>
        </r>
      </text>
    </comment>
    <comment ref="J5" authorId="0">
      <text>
        <r>
          <rPr>
            <sz val="10"/>
            <rFont val="Arial"/>
            <family val="2"/>
          </rPr>
          <t xml:space="preserve">Name or identifier of the artifact: a ticket ID, an exercise report, a signed authorisation matrix. The reference is recorded, not the document.</t>
        </r>
      </text>
    </comment>
    <comment ref="J6" authorId="0">
      <text>
        <r>
          <rPr>
            <sz val="10"/>
            <rFont val="Arial"/>
            <family val="2"/>
          </rPr>
          <t xml:space="preserve">Name or identifier of the artifact: a ticket ID, an exercise report, a signed authorisation matrix. The reference is recorded, not the document.</t>
        </r>
      </text>
    </comment>
    <comment ref="J7" authorId="0">
      <text>
        <r>
          <rPr>
            <sz val="10"/>
            <rFont val="Arial"/>
            <family val="2"/>
          </rPr>
          <t xml:space="preserve">Name or identifier of the artifact: a ticket ID, an exercise report, a signed authorisation matrix. The reference is recorded, not the document.</t>
        </r>
      </text>
    </comment>
    <comment ref="J8" authorId="0">
      <text>
        <r>
          <rPr>
            <sz val="10"/>
            <rFont val="Arial"/>
            <family val="2"/>
          </rPr>
          <t xml:space="preserve">Name or identifier of the artifact: a ticket ID, an exercise report, a signed authorisation matrix. The reference is recorded, not the document.</t>
        </r>
      </text>
    </comment>
    <comment ref="J9" authorId="0">
      <text>
        <r>
          <rPr>
            <sz val="10"/>
            <rFont val="Arial"/>
            <family val="2"/>
          </rPr>
          <t xml:space="preserve">Name or identifier of the artifact: a ticket ID, an exercise report, a signed authorisation matrix. The reference is recorded, not the document.</t>
        </r>
      </text>
    </comment>
    <comment ref="J10" authorId="0">
      <text>
        <r>
          <rPr>
            <sz val="10"/>
            <rFont val="Arial"/>
            <family val="2"/>
          </rPr>
          <t xml:space="preserve">Name or identifier of the artifact: a ticket ID, an exercise report, a signed authorisation matrix. The reference is recorded, not the document.</t>
        </r>
      </text>
    </comment>
    <comment ref="J11" authorId="0">
      <text>
        <r>
          <rPr>
            <sz val="10"/>
            <rFont val="Arial"/>
            <family val="2"/>
          </rPr>
          <t xml:space="preserve">Name or identifier of the artifact: a ticket ID, an exercise report, a signed authorisation matrix. The reference is recorded, not the document.</t>
        </r>
      </text>
    </comment>
    <comment ref="J12" authorId="0">
      <text>
        <r>
          <rPr>
            <sz val="10"/>
            <rFont val="Arial"/>
            <family val="2"/>
          </rPr>
          <t xml:space="preserve">Name or identifier of the artifact: a ticket ID, an exercise report, a signed authorisation matrix. The reference is recorded, not the document.</t>
        </r>
      </text>
    </comment>
    <comment ref="J13" authorId="0">
      <text>
        <r>
          <rPr>
            <sz val="10"/>
            <rFont val="Arial"/>
            <family val="2"/>
          </rPr>
          <t xml:space="preserve">Name or identifier of the artifact: a ticket ID, an exercise report, a signed authorisation matrix. The reference is recorded, not the document.</t>
        </r>
      </text>
    </comment>
    <comment ref="J14" authorId="0">
      <text>
        <r>
          <rPr>
            <sz val="10"/>
            <rFont val="Arial"/>
            <family val="2"/>
          </rPr>
          <t xml:space="preserve">Name or identifier of the artifact: a ticket ID, an exercise report, a signed authorisation matrix. The reference is recorded, not the document.</t>
        </r>
      </text>
    </comment>
    <comment ref="J15" authorId="0">
      <text>
        <r>
          <rPr>
            <sz val="10"/>
            <rFont val="Arial"/>
            <family val="2"/>
          </rPr>
          <t xml:space="preserve">Name or identifier of the artifact: a ticket ID, an exercise report, a signed authorisation matrix. The reference is recorded, not the document.</t>
        </r>
      </text>
    </comment>
    <comment ref="J16" authorId="0">
      <text>
        <r>
          <rPr>
            <sz val="10"/>
            <rFont val="Arial"/>
            <family val="2"/>
          </rPr>
          <t xml:space="preserve">Name or identifier of the artifact: a ticket ID, an exercise report, a signed authorisation matrix. The reference is recorded, not the document.</t>
        </r>
      </text>
    </comment>
    <comment ref="J17" authorId="0">
      <text>
        <r>
          <rPr>
            <sz val="10"/>
            <rFont val="Arial"/>
            <family val="2"/>
          </rPr>
          <t xml:space="preserve">Name or identifier of the artifact: a ticket ID, an exercise report, a signed authorisation matrix. The reference is recorded, not the document.</t>
        </r>
      </text>
    </comment>
    <comment ref="J18" authorId="0">
      <text>
        <r>
          <rPr>
            <sz val="10"/>
            <rFont val="Arial"/>
            <family val="2"/>
          </rPr>
          <t xml:space="preserve">Name or identifier of the artifact: a ticket ID, an exercise report, a signed authorisation matrix. The reference is recorded, not the document.</t>
        </r>
      </text>
    </comment>
    <comment ref="J19" authorId="0">
      <text>
        <r>
          <rPr>
            <sz val="10"/>
            <rFont val="Arial"/>
            <family val="2"/>
          </rPr>
          <t xml:space="preserve">Name or identifier of the artifact: a ticket ID, an exercise report, a signed authorisation matrix. The reference is recorded, not the document.</t>
        </r>
      </text>
    </comment>
    <comment ref="J20" authorId="0">
      <text>
        <r>
          <rPr>
            <sz val="10"/>
            <rFont val="Arial"/>
            <family val="2"/>
          </rPr>
          <t xml:space="preserve">Name or identifier of the artifact: a ticket ID, an exercise report, a signed authorisation matrix. The reference is recorded, not the document.</t>
        </r>
      </text>
    </comment>
    <comment ref="J21" authorId="0">
      <text>
        <r>
          <rPr>
            <sz val="10"/>
            <rFont val="Arial"/>
            <family val="2"/>
          </rPr>
          <t xml:space="preserve">Name or identifier of the artifact: a ticket ID, an exercise report, a signed authorisation matrix. The reference is recorded, not the document.</t>
        </r>
      </text>
    </comment>
    <comment ref="J22" authorId="0">
      <text>
        <r>
          <rPr>
            <sz val="10"/>
            <rFont val="Arial"/>
            <family val="2"/>
          </rPr>
          <t xml:space="preserve">Name or identifier of the artifact: a ticket ID, an exercise report, a signed authorisation matrix. The reference is recorded, not the document.</t>
        </r>
      </text>
    </comment>
    <comment ref="J23" authorId="0">
      <text>
        <r>
          <rPr>
            <sz val="10"/>
            <rFont val="Arial"/>
            <family val="2"/>
          </rPr>
          <t xml:space="preserve">Name or identifier of the artifact: a ticket ID, an exercise report, a signed authorisation matrix. The reference is recorded, not the document.</t>
        </r>
      </text>
    </comment>
    <comment ref="J24" authorId="0">
      <text>
        <r>
          <rPr>
            <sz val="10"/>
            <rFont val="Arial"/>
            <family val="2"/>
          </rPr>
          <t xml:space="preserve">Name or identifier of the artifact: a ticket ID, an exercise report, a signed authorisation matrix. The reference is recorded, not the document.</t>
        </r>
      </text>
    </comment>
    <comment ref="J25" authorId="0">
      <text>
        <r>
          <rPr>
            <sz val="10"/>
            <rFont val="Arial"/>
            <family val="2"/>
          </rPr>
          <t xml:space="preserve">Name or identifier of the artifact: a ticket ID, an exercise report, a signed authorisation matrix. The reference is recorded, not the document.</t>
        </r>
      </text>
    </comment>
    <comment ref="J26" authorId="0">
      <text>
        <r>
          <rPr>
            <sz val="10"/>
            <rFont val="Arial"/>
            <family val="2"/>
          </rPr>
          <t xml:space="preserve">Name or identifier of the artifact: a ticket ID, an exercise report, a signed authorisation matrix. The reference is recorded, not the document.</t>
        </r>
      </text>
    </comment>
    <comment ref="J27" authorId="0">
      <text>
        <r>
          <rPr>
            <sz val="10"/>
            <rFont val="Arial"/>
            <family val="2"/>
          </rPr>
          <t xml:space="preserve">Name or identifier of the artifact: a ticket ID, an exercise report, a signed authorisation matrix. The reference is recorded, not the document.</t>
        </r>
      </text>
    </comment>
    <comment ref="J28" authorId="0">
      <text>
        <r>
          <rPr>
            <sz val="10"/>
            <rFont val="Arial"/>
            <family val="2"/>
          </rPr>
          <t xml:space="preserve">Name or identifier of the artifact: a ticket ID, an exercise report, a signed authorisation matrix. The reference is recorded, not the document.</t>
        </r>
      </text>
    </comment>
    <comment ref="J29" authorId="0">
      <text>
        <r>
          <rPr>
            <sz val="10"/>
            <rFont val="Arial"/>
            <family val="2"/>
          </rPr>
          <t xml:space="preserve">Name or identifier of the artifact: a ticket ID, an exercise report, a signed authorisation matrix. The reference is recorded, not the document.</t>
        </r>
      </text>
    </comment>
    <comment ref="J30" authorId="0">
      <text>
        <r>
          <rPr>
            <sz val="10"/>
            <rFont val="Arial"/>
            <family val="2"/>
          </rPr>
          <t xml:space="preserve">Name or identifier of the artifact: a ticket ID, an exercise report, a signed authorisation matrix. The reference is recorded, not the document.</t>
        </r>
      </text>
    </comment>
    <comment ref="J31" authorId="0">
      <text>
        <r>
          <rPr>
            <sz val="10"/>
            <rFont val="Arial"/>
            <family val="2"/>
          </rPr>
          <t xml:space="preserve">Name or identifier of the artifact: a ticket ID, an exercise report, a signed authorisation matrix. The reference is recorded, not the document.</t>
        </r>
      </text>
    </comment>
    <comment ref="J32" authorId="0">
      <text>
        <r>
          <rPr>
            <sz val="10"/>
            <rFont val="Arial"/>
            <family val="2"/>
          </rPr>
          <t xml:space="preserve">Name or identifier of the artifact: a ticket ID, an exercise report, a signed authorisation matrix. The reference is recorded, not the document.</t>
        </r>
      </text>
    </comment>
    <comment ref="J33" authorId="0">
      <text>
        <r>
          <rPr>
            <sz val="10"/>
            <rFont val="Arial"/>
            <family val="2"/>
          </rPr>
          <t xml:space="preserve">Name or identifier of the artifact: a ticket ID, an exercise report, a signed authorisation matrix. The reference is recorded, not the document.</t>
        </r>
      </text>
    </comment>
    <comment ref="J34" authorId="0">
      <text>
        <r>
          <rPr>
            <sz val="10"/>
            <rFont val="Arial"/>
            <family val="2"/>
          </rPr>
          <t xml:space="preserve">Name or identifier of the artifact: a ticket ID, an exercise report, a signed authorisation matrix. The reference is recorded, not the document.</t>
        </r>
      </text>
    </comment>
    <comment ref="J35" authorId="0">
      <text>
        <r>
          <rPr>
            <sz val="10"/>
            <rFont val="Arial"/>
            <family val="2"/>
          </rPr>
          <t xml:space="preserve">Name or identifier of the artifact: a ticket ID, an exercise report, a signed authorisation matrix. The reference is recorded, not the document.</t>
        </r>
      </text>
    </comment>
    <comment ref="J36" authorId="0">
      <text>
        <r>
          <rPr>
            <sz val="10"/>
            <rFont val="Arial"/>
            <family val="2"/>
          </rPr>
          <t xml:space="preserve">Name or identifier of the artifact: a ticket ID, an exercise report, a signed authorisation matrix. The reference is recorded, not the document.</t>
        </r>
      </text>
    </comment>
    <comment ref="J37" authorId="0">
      <text>
        <r>
          <rPr>
            <sz val="10"/>
            <rFont val="Arial"/>
            <family val="2"/>
          </rPr>
          <t xml:space="preserve">Name or identifier of the artifact: a ticket ID, an exercise report, a signed authorisation matrix. The reference is recorded, not the document.</t>
        </r>
      </text>
    </comment>
    <comment ref="J38" authorId="0">
      <text>
        <r>
          <rPr>
            <sz val="10"/>
            <rFont val="Arial"/>
            <family val="2"/>
          </rPr>
          <t xml:space="preserve">Name or identifier of the artifact: a ticket ID, an exercise report, a signed authorisation matrix. The reference is recorded, not the document.</t>
        </r>
      </text>
    </comment>
    <comment ref="J39" authorId="0">
      <text>
        <r>
          <rPr>
            <sz val="10"/>
            <rFont val="Arial"/>
            <family val="2"/>
          </rPr>
          <t xml:space="preserve">Name or identifier of the artifact: a ticket ID, an exercise report, a signed authorisation matrix. The reference is recorded, not the document.</t>
        </r>
      </text>
    </comment>
    <comment ref="J40" authorId="0">
      <text>
        <r>
          <rPr>
            <sz val="10"/>
            <rFont val="Arial"/>
            <family val="2"/>
          </rPr>
          <t xml:space="preserve">Name or identifier of the artifact: a ticket ID, an exercise report, a signed authorisation matrix. The reference is recorded, not the document.</t>
        </r>
      </text>
    </comment>
    <comment ref="J41" authorId="0">
      <text>
        <r>
          <rPr>
            <sz val="10"/>
            <rFont val="Arial"/>
            <family val="2"/>
          </rPr>
          <t xml:space="preserve">Name or identifier of the artifact: a ticket ID, an exercise report, a signed authorisation matrix. The reference is recorded, not the document.</t>
        </r>
      </text>
    </comment>
    <comment ref="J42" authorId="0">
      <text>
        <r>
          <rPr>
            <sz val="10"/>
            <rFont val="Arial"/>
            <family val="2"/>
          </rPr>
          <t xml:space="preserve">Name or identifier of the artifact: a ticket ID, an exercise report, a signed authorisation matrix. The reference is recorded, not the document.</t>
        </r>
      </text>
    </comment>
    <comment ref="J43" authorId="0">
      <text>
        <r>
          <rPr>
            <sz val="10"/>
            <rFont val="Arial"/>
            <family val="2"/>
          </rPr>
          <t xml:space="preserve">Name or identifier of the artifact: a ticket ID, an exercise report, a signed authorisation matrix. The reference is recorded, not the document.</t>
        </r>
      </text>
    </comment>
    <comment ref="J44" authorId="0">
      <text>
        <r>
          <rPr>
            <sz val="10"/>
            <rFont val="Arial"/>
            <family val="2"/>
          </rPr>
          <t xml:space="preserve">Name or identifier of the artifact: a ticket ID, an exercise report, a signed authorisation matrix. The reference is recorded, not the document.</t>
        </r>
      </text>
    </comment>
    <comment ref="J45" authorId="0">
      <text>
        <r>
          <rPr>
            <sz val="10"/>
            <rFont val="Arial"/>
            <family val="2"/>
          </rPr>
          <t xml:space="preserve">Name or identifier of the artifact: a ticket ID, an exercise report, a signed authorisation matrix. The reference is recorded, not the document.</t>
        </r>
      </text>
    </comment>
    <comment ref="J46" authorId="0">
      <text>
        <r>
          <rPr>
            <sz val="10"/>
            <rFont val="Arial"/>
            <family val="2"/>
          </rPr>
          <t xml:space="preserve">Name or identifier of the artifact: a ticket ID, an exercise report, a signed authorisation matrix. The reference is recorded, not the document.</t>
        </r>
      </text>
    </comment>
    <comment ref="J47" authorId="0">
      <text>
        <r>
          <rPr>
            <sz val="10"/>
            <rFont val="Arial"/>
            <family val="2"/>
          </rPr>
          <t xml:space="preserve">Name or identifier of the artifact: a ticket ID, an exercise report, a signed authorisation matrix. The reference is recorded, not the document.</t>
        </r>
      </text>
    </comment>
    <comment ref="J48" authorId="0">
      <text>
        <r>
          <rPr>
            <sz val="10"/>
            <rFont val="Arial"/>
            <family val="2"/>
          </rPr>
          <t xml:space="preserve">Name or identifier of the artifact: a ticket ID, an exercise report, a signed authorisation matrix. The reference is recorded, not the document.</t>
        </r>
      </text>
    </comment>
    <comment ref="J49" authorId="0">
      <text>
        <r>
          <rPr>
            <sz val="10"/>
            <rFont val="Arial"/>
            <family val="2"/>
          </rPr>
          <t xml:space="preserve">Name or identifier of the artifact: a ticket ID, an exercise report, a signed authorisation matrix. The reference is recorded, not the document.</t>
        </r>
      </text>
    </comment>
    <comment ref="J50" authorId="0">
      <text>
        <r>
          <rPr>
            <sz val="10"/>
            <rFont val="Arial"/>
            <family val="2"/>
          </rPr>
          <t xml:space="preserve">Name or identifier of the artifact: a ticket ID, an exercise report, a signed authorisation matrix. The reference is recorded, not the document.</t>
        </r>
      </text>
    </comment>
    <comment ref="J51" authorId="0">
      <text>
        <r>
          <rPr>
            <sz val="10"/>
            <rFont val="Arial"/>
            <family val="2"/>
          </rPr>
          <t xml:space="preserve">Name or identifier of the artifact: a ticket ID, an exercise report, a signed authorisation matrix. The reference is recorded, not the document.</t>
        </r>
      </text>
    </comment>
    <comment ref="J52" authorId="0">
      <text>
        <r>
          <rPr>
            <sz val="10"/>
            <rFont val="Arial"/>
            <family val="2"/>
          </rPr>
          <t xml:space="preserve">Name or identifier of the artifact: a ticket ID, an exercise report, a signed authorisation matrix. The reference is recorded, not the document.</t>
        </r>
      </text>
    </comment>
    <comment ref="J53" authorId="0">
      <text>
        <r>
          <rPr>
            <sz val="10"/>
            <rFont val="Arial"/>
            <family val="2"/>
          </rPr>
          <t xml:space="preserve">Name or identifier of the artifact: a ticket ID, an exercise report, a signed authorisation matrix. The reference is recorded, not the document.</t>
        </r>
      </text>
    </comment>
    <comment ref="J54" authorId="0">
      <text>
        <r>
          <rPr>
            <sz val="10"/>
            <rFont val="Arial"/>
            <family val="2"/>
          </rPr>
          <t xml:space="preserve">Name or identifier of the artifact: a ticket ID, an exercise report, a signed authorisation matrix. The reference is recorded, not the document.</t>
        </r>
      </text>
    </comment>
    <comment ref="J55" authorId="0">
      <text>
        <r>
          <rPr>
            <sz val="10"/>
            <rFont val="Arial"/>
            <family val="2"/>
          </rPr>
          <t xml:space="preserve">Name or identifier of the artifact: a ticket ID, an exercise report, a signed authorisation matrix. The reference is recorded, not the document.</t>
        </r>
      </text>
    </comment>
    <comment ref="J56" authorId="0">
      <text>
        <r>
          <rPr>
            <sz val="10"/>
            <rFont val="Arial"/>
            <family val="2"/>
          </rPr>
          <t xml:space="preserve">Name or identifier of the artifact: a ticket ID, an exercise report, a signed authorisation matrix. The reference is recorded, not the document.</t>
        </r>
      </text>
    </comment>
    <comment ref="J57" authorId="0">
      <text>
        <r>
          <rPr>
            <sz val="10"/>
            <rFont val="Arial"/>
            <family val="2"/>
          </rPr>
          <t xml:space="preserve">Name or identifier of the artifact: a ticket ID, an exercise report, a signed authorisation matrix. The reference is recorded, not the document.</t>
        </r>
      </text>
    </comment>
    <comment ref="J58" authorId="0">
      <text>
        <r>
          <rPr>
            <sz val="10"/>
            <rFont val="Arial"/>
            <family val="2"/>
          </rPr>
          <t xml:space="preserve">Name or identifier of the artifact: a ticket ID, an exercise report, a signed authorisation matrix. The reference is recorded, not the document.</t>
        </r>
      </text>
    </comment>
    <comment ref="J59" authorId="0">
      <text>
        <r>
          <rPr>
            <sz val="10"/>
            <rFont val="Arial"/>
            <family val="2"/>
          </rPr>
          <t xml:space="preserve">Name or identifier of the artifact: a ticket ID, an exercise report, a signed authorisation matrix. The reference is recorded, not the document.</t>
        </r>
      </text>
    </comment>
    <comment ref="J60" authorId="0">
      <text>
        <r>
          <rPr>
            <sz val="10"/>
            <rFont val="Arial"/>
            <family val="2"/>
          </rPr>
          <t xml:space="preserve">Name or identifier of the artifact: a ticket ID, an exercise report, a signed authorisation matrix. The reference is recorded, not the document.</t>
        </r>
      </text>
    </comment>
    <comment ref="J61" authorId="0">
      <text>
        <r>
          <rPr>
            <sz val="10"/>
            <rFont val="Arial"/>
            <family val="2"/>
          </rPr>
          <t xml:space="preserve">Name or identifier of the artifact: a ticket ID, an exercise report, a signed authorisation matrix. The reference is recorded, not the document.</t>
        </r>
      </text>
    </comment>
    <comment ref="J62" authorId="0">
      <text>
        <r>
          <rPr>
            <sz val="10"/>
            <rFont val="Arial"/>
            <family val="2"/>
          </rPr>
          <t xml:space="preserve">Name or identifier of the artifact: a ticket ID, an exercise report, a signed authorisation matrix. The reference is recorded, not the document.</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H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9"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0"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1"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2"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3"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4"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19"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0"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1"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2"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3"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4"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29"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0"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1"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2"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3"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4"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39"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0"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1"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2"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3"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4"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49"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0"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1"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2"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3"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4"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59"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0"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1"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2"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3"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4"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5"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6"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7"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H68" authorId="0">
      <text>
        <r>
          <rPr>
            <sz val="10"/>
            <rFont val="Arial"/>
            <family val="2"/>
          </rPr>
          <t xml:space="preserve">Date this cell was last proven under a clock. Required for status 3: specification section 3.6 expires proof at twelve months, and an undated proof cannot be shown to be current.</t>
        </r>
      </text>
    </comment>
    <comment ref="I5" authorId="0">
      <text>
        <r>
          <rPr>
            <sz val="10"/>
            <rFont val="Arial"/>
            <family val="2"/>
          </rPr>
          <t xml:space="preserve">y if the tooling, on-call model, owner, architecture or provider behind this action has changed since it was proven. Any of those reverts status 3 to 2.</t>
        </r>
      </text>
    </comment>
    <comment ref="I6" authorId="0">
      <text>
        <r>
          <rPr>
            <sz val="10"/>
            <rFont val="Arial"/>
            <family val="2"/>
          </rPr>
          <t xml:space="preserve">y if the tooling, on-call model, owner, architecture or provider behind this action has changed since it was proven. Any of those reverts status 3 to 2.</t>
        </r>
      </text>
    </comment>
    <comment ref="I7" authorId="0">
      <text>
        <r>
          <rPr>
            <sz val="10"/>
            <rFont val="Arial"/>
            <family val="2"/>
          </rPr>
          <t xml:space="preserve">y if the tooling, on-call model, owner, architecture or provider behind this action has changed since it was proven. Any of those reverts status 3 to 2.</t>
        </r>
      </text>
    </comment>
    <comment ref="I8" authorId="0">
      <text>
        <r>
          <rPr>
            <sz val="10"/>
            <rFont val="Arial"/>
            <family val="2"/>
          </rPr>
          <t xml:space="preserve">y if the tooling, on-call model, owner, architecture or provider behind this action has changed since it was proven. Any of those reverts status 3 to 2.</t>
        </r>
      </text>
    </comment>
    <comment ref="I9" authorId="0">
      <text>
        <r>
          <rPr>
            <sz val="10"/>
            <rFont val="Arial"/>
            <family val="2"/>
          </rPr>
          <t xml:space="preserve">y if the tooling, on-call model, owner, architecture or provider behind this action has changed since it was proven. Any of those reverts status 3 to 2.</t>
        </r>
      </text>
    </comment>
    <comment ref="I10" authorId="0">
      <text>
        <r>
          <rPr>
            <sz val="10"/>
            <rFont val="Arial"/>
            <family val="2"/>
          </rPr>
          <t xml:space="preserve">y if the tooling, on-call model, owner, architecture or provider behind this action has changed since it was proven. Any of those reverts status 3 to 2.</t>
        </r>
      </text>
    </comment>
    <comment ref="I11" authorId="0">
      <text>
        <r>
          <rPr>
            <sz val="10"/>
            <rFont val="Arial"/>
            <family val="2"/>
          </rPr>
          <t xml:space="preserve">y if the tooling, on-call model, owner, architecture or provider behind this action has changed since it was proven. Any of those reverts status 3 to 2.</t>
        </r>
      </text>
    </comment>
    <comment ref="I12" authorId="0">
      <text>
        <r>
          <rPr>
            <sz val="10"/>
            <rFont val="Arial"/>
            <family val="2"/>
          </rPr>
          <t xml:space="preserve">y if the tooling, on-call model, owner, architecture or provider behind this action has changed since it was proven. Any of those reverts status 3 to 2.</t>
        </r>
      </text>
    </comment>
    <comment ref="I13" authorId="0">
      <text>
        <r>
          <rPr>
            <sz val="10"/>
            <rFont val="Arial"/>
            <family val="2"/>
          </rPr>
          <t xml:space="preserve">y if the tooling, on-call model, owner, architecture or provider behind this action has changed since it was proven. Any of those reverts status 3 to 2.</t>
        </r>
      </text>
    </comment>
    <comment ref="I14" authorId="0">
      <text>
        <r>
          <rPr>
            <sz val="10"/>
            <rFont val="Arial"/>
            <family val="2"/>
          </rPr>
          <t xml:space="preserve">y if the tooling, on-call model, owner, architecture or provider behind this action has changed since it was proven. Any of those reverts status 3 to 2.</t>
        </r>
      </text>
    </comment>
    <comment ref="I15" authorId="0">
      <text>
        <r>
          <rPr>
            <sz val="10"/>
            <rFont val="Arial"/>
            <family val="2"/>
          </rPr>
          <t xml:space="preserve">y if the tooling, on-call model, owner, architecture or provider behind this action has changed since it was proven. Any of those reverts status 3 to 2.</t>
        </r>
      </text>
    </comment>
    <comment ref="I16" authorId="0">
      <text>
        <r>
          <rPr>
            <sz val="10"/>
            <rFont val="Arial"/>
            <family val="2"/>
          </rPr>
          <t xml:space="preserve">y if the tooling, on-call model, owner, architecture or provider behind this action has changed since it was proven. Any of those reverts status 3 to 2.</t>
        </r>
      </text>
    </comment>
    <comment ref="I17" authorId="0">
      <text>
        <r>
          <rPr>
            <sz val="10"/>
            <rFont val="Arial"/>
            <family val="2"/>
          </rPr>
          <t xml:space="preserve">y if the tooling, on-call model, owner, architecture or provider behind this action has changed since it was proven. Any of those reverts status 3 to 2.</t>
        </r>
      </text>
    </comment>
    <comment ref="I18" authorId="0">
      <text>
        <r>
          <rPr>
            <sz val="10"/>
            <rFont val="Arial"/>
            <family val="2"/>
          </rPr>
          <t xml:space="preserve">y if the tooling, on-call model, owner, architecture or provider behind this action has changed since it was proven. Any of those reverts status 3 to 2.</t>
        </r>
      </text>
    </comment>
    <comment ref="I19" authorId="0">
      <text>
        <r>
          <rPr>
            <sz val="10"/>
            <rFont val="Arial"/>
            <family val="2"/>
          </rPr>
          <t xml:space="preserve">y if the tooling, on-call model, owner, architecture or provider behind this action has changed since it was proven. Any of those reverts status 3 to 2.</t>
        </r>
      </text>
    </comment>
    <comment ref="I20" authorId="0">
      <text>
        <r>
          <rPr>
            <sz val="10"/>
            <rFont val="Arial"/>
            <family val="2"/>
          </rPr>
          <t xml:space="preserve">y if the tooling, on-call model, owner, architecture or provider behind this action has changed since it was proven. Any of those reverts status 3 to 2.</t>
        </r>
      </text>
    </comment>
    <comment ref="I21" authorId="0">
      <text>
        <r>
          <rPr>
            <sz val="10"/>
            <rFont val="Arial"/>
            <family val="2"/>
          </rPr>
          <t xml:space="preserve">y if the tooling, on-call model, owner, architecture or provider behind this action has changed since it was proven. Any of those reverts status 3 to 2.</t>
        </r>
      </text>
    </comment>
    <comment ref="I22" authorId="0">
      <text>
        <r>
          <rPr>
            <sz val="10"/>
            <rFont val="Arial"/>
            <family val="2"/>
          </rPr>
          <t xml:space="preserve">y if the tooling, on-call model, owner, architecture or provider behind this action has changed since it was proven. Any of those reverts status 3 to 2.</t>
        </r>
      </text>
    </comment>
    <comment ref="I23" authorId="0">
      <text>
        <r>
          <rPr>
            <sz val="10"/>
            <rFont val="Arial"/>
            <family val="2"/>
          </rPr>
          <t xml:space="preserve">y if the tooling, on-call model, owner, architecture or provider behind this action has changed since it was proven. Any of those reverts status 3 to 2.</t>
        </r>
      </text>
    </comment>
    <comment ref="I24" authorId="0">
      <text>
        <r>
          <rPr>
            <sz val="10"/>
            <rFont val="Arial"/>
            <family val="2"/>
          </rPr>
          <t xml:space="preserve">y if the tooling, on-call model, owner, architecture or provider behind this action has changed since it was proven. Any of those reverts status 3 to 2.</t>
        </r>
      </text>
    </comment>
    <comment ref="I25" authorId="0">
      <text>
        <r>
          <rPr>
            <sz val="10"/>
            <rFont val="Arial"/>
            <family val="2"/>
          </rPr>
          <t xml:space="preserve">y if the tooling, on-call model, owner, architecture or provider behind this action has changed since it was proven. Any of those reverts status 3 to 2.</t>
        </r>
      </text>
    </comment>
    <comment ref="I26" authorId="0">
      <text>
        <r>
          <rPr>
            <sz val="10"/>
            <rFont val="Arial"/>
            <family val="2"/>
          </rPr>
          <t xml:space="preserve">y if the tooling, on-call model, owner, architecture or provider behind this action has changed since it was proven. Any of those reverts status 3 to 2.</t>
        </r>
      </text>
    </comment>
    <comment ref="I27" authorId="0">
      <text>
        <r>
          <rPr>
            <sz val="10"/>
            <rFont val="Arial"/>
            <family val="2"/>
          </rPr>
          <t xml:space="preserve">y if the tooling, on-call model, owner, architecture or provider behind this action has changed since it was proven. Any of those reverts status 3 to 2.</t>
        </r>
      </text>
    </comment>
    <comment ref="I28" authorId="0">
      <text>
        <r>
          <rPr>
            <sz val="10"/>
            <rFont val="Arial"/>
            <family val="2"/>
          </rPr>
          <t xml:space="preserve">y if the tooling, on-call model, owner, architecture or provider behind this action has changed since it was proven. Any of those reverts status 3 to 2.</t>
        </r>
      </text>
    </comment>
    <comment ref="I29" authorId="0">
      <text>
        <r>
          <rPr>
            <sz val="10"/>
            <rFont val="Arial"/>
            <family val="2"/>
          </rPr>
          <t xml:space="preserve">y if the tooling, on-call model, owner, architecture or provider behind this action has changed since it was proven. Any of those reverts status 3 to 2.</t>
        </r>
      </text>
    </comment>
    <comment ref="I30" authorId="0">
      <text>
        <r>
          <rPr>
            <sz val="10"/>
            <rFont val="Arial"/>
            <family val="2"/>
          </rPr>
          <t xml:space="preserve">y if the tooling, on-call model, owner, architecture or provider behind this action has changed since it was proven. Any of those reverts status 3 to 2.</t>
        </r>
      </text>
    </comment>
    <comment ref="I31" authorId="0">
      <text>
        <r>
          <rPr>
            <sz val="10"/>
            <rFont val="Arial"/>
            <family val="2"/>
          </rPr>
          <t xml:space="preserve">y if the tooling, on-call model, owner, architecture or provider behind this action has changed since it was proven. Any of those reverts status 3 to 2.</t>
        </r>
      </text>
    </comment>
    <comment ref="I32" authorId="0">
      <text>
        <r>
          <rPr>
            <sz val="10"/>
            <rFont val="Arial"/>
            <family val="2"/>
          </rPr>
          <t xml:space="preserve">y if the tooling, on-call model, owner, architecture or provider behind this action has changed since it was proven. Any of those reverts status 3 to 2.</t>
        </r>
      </text>
    </comment>
    <comment ref="I33" authorId="0">
      <text>
        <r>
          <rPr>
            <sz val="10"/>
            <rFont val="Arial"/>
            <family val="2"/>
          </rPr>
          <t xml:space="preserve">y if the tooling, on-call model, owner, architecture or provider behind this action has changed since it was proven. Any of those reverts status 3 to 2.</t>
        </r>
      </text>
    </comment>
    <comment ref="I34" authorId="0">
      <text>
        <r>
          <rPr>
            <sz val="10"/>
            <rFont val="Arial"/>
            <family val="2"/>
          </rPr>
          <t xml:space="preserve">y if the tooling, on-call model, owner, architecture or provider behind this action has changed since it was proven. Any of those reverts status 3 to 2.</t>
        </r>
      </text>
    </comment>
    <comment ref="I35" authorId="0">
      <text>
        <r>
          <rPr>
            <sz val="10"/>
            <rFont val="Arial"/>
            <family val="2"/>
          </rPr>
          <t xml:space="preserve">y if the tooling, on-call model, owner, architecture or provider behind this action has changed since it was proven. Any of those reverts status 3 to 2.</t>
        </r>
      </text>
    </comment>
    <comment ref="I36" authorId="0">
      <text>
        <r>
          <rPr>
            <sz val="10"/>
            <rFont val="Arial"/>
            <family val="2"/>
          </rPr>
          <t xml:space="preserve">y if the tooling, on-call model, owner, architecture or provider behind this action has changed since it was proven. Any of those reverts status 3 to 2.</t>
        </r>
      </text>
    </comment>
    <comment ref="I37" authorId="0">
      <text>
        <r>
          <rPr>
            <sz val="10"/>
            <rFont val="Arial"/>
            <family val="2"/>
          </rPr>
          <t xml:space="preserve">y if the tooling, on-call model, owner, architecture or provider behind this action has changed since it was proven. Any of those reverts status 3 to 2.</t>
        </r>
      </text>
    </comment>
    <comment ref="I38" authorId="0">
      <text>
        <r>
          <rPr>
            <sz val="10"/>
            <rFont val="Arial"/>
            <family val="2"/>
          </rPr>
          <t xml:space="preserve">y if the tooling, on-call model, owner, architecture or provider behind this action has changed since it was proven. Any of those reverts status 3 to 2.</t>
        </r>
      </text>
    </comment>
    <comment ref="I39" authorId="0">
      <text>
        <r>
          <rPr>
            <sz val="10"/>
            <rFont val="Arial"/>
            <family val="2"/>
          </rPr>
          <t xml:space="preserve">y if the tooling, on-call model, owner, architecture or provider behind this action has changed since it was proven. Any of those reverts status 3 to 2.</t>
        </r>
      </text>
    </comment>
    <comment ref="I40" authorId="0">
      <text>
        <r>
          <rPr>
            <sz val="10"/>
            <rFont val="Arial"/>
            <family val="2"/>
          </rPr>
          <t xml:space="preserve">y if the tooling, on-call model, owner, architecture or provider behind this action has changed since it was proven. Any of those reverts status 3 to 2.</t>
        </r>
      </text>
    </comment>
    <comment ref="I41" authorId="0">
      <text>
        <r>
          <rPr>
            <sz val="10"/>
            <rFont val="Arial"/>
            <family val="2"/>
          </rPr>
          <t xml:space="preserve">y if the tooling, on-call model, owner, architecture or provider behind this action has changed since it was proven. Any of those reverts status 3 to 2.</t>
        </r>
      </text>
    </comment>
    <comment ref="I42" authorId="0">
      <text>
        <r>
          <rPr>
            <sz val="10"/>
            <rFont val="Arial"/>
            <family val="2"/>
          </rPr>
          <t xml:space="preserve">y if the tooling, on-call model, owner, architecture or provider behind this action has changed since it was proven. Any of those reverts status 3 to 2.</t>
        </r>
      </text>
    </comment>
    <comment ref="I43" authorId="0">
      <text>
        <r>
          <rPr>
            <sz val="10"/>
            <rFont val="Arial"/>
            <family val="2"/>
          </rPr>
          <t xml:space="preserve">y if the tooling, on-call model, owner, architecture or provider behind this action has changed since it was proven. Any of those reverts status 3 to 2.</t>
        </r>
      </text>
    </comment>
    <comment ref="I44" authorId="0">
      <text>
        <r>
          <rPr>
            <sz val="10"/>
            <rFont val="Arial"/>
            <family val="2"/>
          </rPr>
          <t xml:space="preserve">y if the tooling, on-call model, owner, architecture or provider behind this action has changed since it was proven. Any of those reverts status 3 to 2.</t>
        </r>
      </text>
    </comment>
    <comment ref="I45" authorId="0">
      <text>
        <r>
          <rPr>
            <sz val="10"/>
            <rFont val="Arial"/>
            <family val="2"/>
          </rPr>
          <t xml:space="preserve">y if the tooling, on-call model, owner, architecture or provider behind this action has changed since it was proven. Any of those reverts status 3 to 2.</t>
        </r>
      </text>
    </comment>
    <comment ref="I46" authorId="0">
      <text>
        <r>
          <rPr>
            <sz val="10"/>
            <rFont val="Arial"/>
            <family val="2"/>
          </rPr>
          <t xml:space="preserve">y if the tooling, on-call model, owner, architecture or provider behind this action has changed since it was proven. Any of those reverts status 3 to 2.</t>
        </r>
      </text>
    </comment>
    <comment ref="I47" authorId="0">
      <text>
        <r>
          <rPr>
            <sz val="10"/>
            <rFont val="Arial"/>
            <family val="2"/>
          </rPr>
          <t xml:space="preserve">y if the tooling, on-call model, owner, architecture or provider behind this action has changed since it was proven. Any of those reverts status 3 to 2.</t>
        </r>
      </text>
    </comment>
    <comment ref="I48" authorId="0">
      <text>
        <r>
          <rPr>
            <sz val="10"/>
            <rFont val="Arial"/>
            <family val="2"/>
          </rPr>
          <t xml:space="preserve">y if the tooling, on-call model, owner, architecture or provider behind this action has changed since it was proven. Any of those reverts status 3 to 2.</t>
        </r>
      </text>
    </comment>
    <comment ref="I49" authorId="0">
      <text>
        <r>
          <rPr>
            <sz val="10"/>
            <rFont val="Arial"/>
            <family val="2"/>
          </rPr>
          <t xml:space="preserve">y if the tooling, on-call model, owner, architecture or provider behind this action has changed since it was proven. Any of those reverts status 3 to 2.</t>
        </r>
      </text>
    </comment>
    <comment ref="I50" authorId="0">
      <text>
        <r>
          <rPr>
            <sz val="10"/>
            <rFont val="Arial"/>
            <family val="2"/>
          </rPr>
          <t xml:space="preserve">y if the tooling, on-call model, owner, architecture or provider behind this action has changed since it was proven. Any of those reverts status 3 to 2.</t>
        </r>
      </text>
    </comment>
    <comment ref="I51" authorId="0">
      <text>
        <r>
          <rPr>
            <sz val="10"/>
            <rFont val="Arial"/>
            <family val="2"/>
          </rPr>
          <t xml:space="preserve">y if the tooling, on-call model, owner, architecture or provider behind this action has changed since it was proven. Any of those reverts status 3 to 2.</t>
        </r>
      </text>
    </comment>
    <comment ref="I52" authorId="0">
      <text>
        <r>
          <rPr>
            <sz val="10"/>
            <rFont val="Arial"/>
            <family val="2"/>
          </rPr>
          <t xml:space="preserve">y if the tooling, on-call model, owner, architecture or provider behind this action has changed since it was proven. Any of those reverts status 3 to 2.</t>
        </r>
      </text>
    </comment>
    <comment ref="I53" authorId="0">
      <text>
        <r>
          <rPr>
            <sz val="10"/>
            <rFont val="Arial"/>
            <family val="2"/>
          </rPr>
          <t xml:space="preserve">y if the tooling, on-call model, owner, architecture or provider behind this action has changed since it was proven. Any of those reverts status 3 to 2.</t>
        </r>
      </text>
    </comment>
    <comment ref="I54" authorId="0">
      <text>
        <r>
          <rPr>
            <sz val="10"/>
            <rFont val="Arial"/>
            <family val="2"/>
          </rPr>
          <t xml:space="preserve">y if the tooling, on-call model, owner, architecture or provider behind this action has changed since it was proven. Any of those reverts status 3 to 2.</t>
        </r>
      </text>
    </comment>
    <comment ref="I55" authorId="0">
      <text>
        <r>
          <rPr>
            <sz val="10"/>
            <rFont val="Arial"/>
            <family val="2"/>
          </rPr>
          <t xml:space="preserve">y if the tooling, on-call model, owner, architecture or provider behind this action has changed since it was proven. Any of those reverts status 3 to 2.</t>
        </r>
      </text>
    </comment>
    <comment ref="I56" authorId="0">
      <text>
        <r>
          <rPr>
            <sz val="10"/>
            <rFont val="Arial"/>
            <family val="2"/>
          </rPr>
          <t xml:space="preserve">y if the tooling, on-call model, owner, architecture or provider behind this action has changed since it was proven. Any of those reverts status 3 to 2.</t>
        </r>
      </text>
    </comment>
    <comment ref="I57" authorId="0">
      <text>
        <r>
          <rPr>
            <sz val="10"/>
            <rFont val="Arial"/>
            <family val="2"/>
          </rPr>
          <t xml:space="preserve">y if the tooling, on-call model, owner, architecture or provider behind this action has changed since it was proven. Any of those reverts status 3 to 2.</t>
        </r>
      </text>
    </comment>
    <comment ref="I58" authorId="0">
      <text>
        <r>
          <rPr>
            <sz val="10"/>
            <rFont val="Arial"/>
            <family val="2"/>
          </rPr>
          <t xml:space="preserve">y if the tooling, on-call model, owner, architecture or provider behind this action has changed since it was proven. Any of those reverts status 3 to 2.</t>
        </r>
      </text>
    </comment>
    <comment ref="I59" authorId="0">
      <text>
        <r>
          <rPr>
            <sz val="10"/>
            <rFont val="Arial"/>
            <family val="2"/>
          </rPr>
          <t xml:space="preserve">y if the tooling, on-call model, owner, architecture or provider behind this action has changed since it was proven. Any of those reverts status 3 to 2.</t>
        </r>
      </text>
    </comment>
    <comment ref="I60" authorId="0">
      <text>
        <r>
          <rPr>
            <sz val="10"/>
            <rFont val="Arial"/>
            <family val="2"/>
          </rPr>
          <t xml:space="preserve">y if the tooling, on-call model, owner, architecture or provider behind this action has changed since it was proven. Any of those reverts status 3 to 2.</t>
        </r>
      </text>
    </comment>
    <comment ref="I61" authorId="0">
      <text>
        <r>
          <rPr>
            <sz val="10"/>
            <rFont val="Arial"/>
            <family val="2"/>
          </rPr>
          <t xml:space="preserve">y if the tooling, on-call model, owner, architecture or provider behind this action has changed since it was proven. Any of those reverts status 3 to 2.</t>
        </r>
      </text>
    </comment>
    <comment ref="I62" authorId="0">
      <text>
        <r>
          <rPr>
            <sz val="10"/>
            <rFont val="Arial"/>
            <family val="2"/>
          </rPr>
          <t xml:space="preserve">y if the tooling, on-call model, owner, architecture or provider behind this action has changed since it was proven. Any of those reverts status 3 to 2.</t>
        </r>
      </text>
    </comment>
    <comment ref="I63" authorId="0">
      <text>
        <r>
          <rPr>
            <sz val="10"/>
            <rFont val="Arial"/>
            <family val="2"/>
          </rPr>
          <t xml:space="preserve">y if the tooling, on-call model, owner, architecture or provider behind this action has changed since it was proven. Any of those reverts status 3 to 2.</t>
        </r>
      </text>
    </comment>
    <comment ref="I64" authorId="0">
      <text>
        <r>
          <rPr>
            <sz val="10"/>
            <rFont val="Arial"/>
            <family val="2"/>
          </rPr>
          <t xml:space="preserve">y if the tooling, on-call model, owner, architecture or provider behind this action has changed since it was proven. Any of those reverts status 3 to 2.</t>
        </r>
      </text>
    </comment>
    <comment ref="I65" authorId="0">
      <text>
        <r>
          <rPr>
            <sz val="10"/>
            <rFont val="Arial"/>
            <family val="2"/>
          </rPr>
          <t xml:space="preserve">y if the tooling, on-call model, owner, architecture or provider behind this action has changed since it was proven. Any of those reverts status 3 to 2.</t>
        </r>
      </text>
    </comment>
    <comment ref="I66" authorId="0">
      <text>
        <r>
          <rPr>
            <sz val="10"/>
            <rFont val="Arial"/>
            <family val="2"/>
          </rPr>
          <t xml:space="preserve">y if the tooling, on-call model, owner, architecture or provider behind this action has changed since it was proven. Any of those reverts status 3 to 2.</t>
        </r>
      </text>
    </comment>
    <comment ref="I67" authorId="0">
      <text>
        <r>
          <rPr>
            <sz val="10"/>
            <rFont val="Arial"/>
            <family val="2"/>
          </rPr>
          <t xml:space="preserve">y if the tooling, on-call model, owner, architecture or provider behind this action has changed since it was proven. Any of those reverts status 3 to 2.</t>
        </r>
      </text>
    </comment>
    <comment ref="I68" authorId="0">
      <text>
        <r>
          <rPr>
            <sz val="10"/>
            <rFont val="Arial"/>
            <family val="2"/>
          </rPr>
          <t xml:space="preserve">y if the tooling, on-call model, owner, architecture or provider behind this action has changed since it was proven. Any of those reverts status 3 to 2.</t>
        </r>
      </text>
    </comment>
  </commentList>
</comments>
</file>

<file path=xl/sharedStrings.xml><?xml version="1.0" encoding="utf-8"?>
<sst xmlns="http://schemas.openxmlformats.org/spreadsheetml/2006/main" count="1710" uniqueCount="893">
  <si>
    <t xml:space="preserve">TIR-CMM — Threat-Informed Response Capability Maturity Model</t>
  </si>
  <si>
    <t xml:space="preserve">Offline assessment workbook · model version 1.0</t>
  </si>
  <si>
    <t xml:space="preserve">What this is</t>
  </si>
  <si>
    <t xml:space="preserve">A complete offline assessment. It carries the same eight domains, 58 sub-capabilities, containment lattice, tempo arithmetic and integrity constraints as the browser tool, with live formulas. Nothing here is pre-computed — fill in the blue cells and every derived figure updates.</t>
  </si>
  <si>
    <t xml:space="preserve">Why it exists</t>
  </si>
  <si>
    <t xml:space="preserve">Response capability is routinely scored on what an organisation has bought and written down, not on what it can execute against a clock. TIR-CMM measures the second thing. Its distinguishing move is to time the decision separately from the containment: MTTDecide is where most of the loss sits, and it is invisible inside MTTR.</t>
  </si>
  <si>
    <t xml:space="preserve">Where it sits</t>
  </si>
  <si>
    <t xml:space="preserve">TIR-CMM is a module of UTIOM (utiom.de), the foundation framework for security operations, and the response companion to TID-CMM (tid-cmm.com), which measures detection. TIR-CMM can be used entirely on its own: sheet "1 Context" contains an eight-question detection check that stands in for a TID-CMM import.</t>
  </si>
  <si>
    <t xml:space="preserve">How to fill it in</t>
  </si>
  <si>
    <t xml:space="preserve">Sheet</t>
  </si>
  <si>
    <t xml:space="preserve">What you do there</t>
  </si>
  <si>
    <t xml:space="preserve">1 Context</t>
  </si>
  <si>
    <t xml:space="preserve">Organisation, assessment tier, and the detection reality check. 10 minutes.</t>
  </si>
  <si>
    <t xml:space="preserve">2 Actors &amp; tempo</t>
  </si>
  <si>
    <t xml:space="preserve">Pick a priority actor and record your detect / decide / contain times. 10 minutes.</t>
  </si>
  <si>
    <t xml:space="preserve">3 Capabilities</t>
  </si>
  <si>
    <t xml:space="preserve">Score 58 sub-capabilities 0–5 and grade the evidence behind each. The main effort.</t>
  </si>
  <si>
    <t xml:space="preserve">4 Lattice</t>
  </si>
  <si>
    <t xml:space="preserve">For each attack-path stage against each asset class: is it in scope, how critical, and what response option actually exists.</t>
  </si>
  <si>
    <t xml:space="preserve">5 Results</t>
  </si>
  <si>
    <t xml:space="preserve">Read only. Scores, constraints, band, and the three readiness lenses.</t>
  </si>
  <si>
    <t xml:space="preserve">6 Blueprint</t>
  </si>
  <si>
    <t xml:space="preserve">Read only. What to fix, ranked by impact and split into three horizons.</t>
  </si>
  <si>
    <t xml:space="preserve">Reference</t>
  </si>
  <si>
    <t xml:space="preserve">Read only. Every lookup table the workbook uses.</t>
  </si>
  <si>
    <t xml:space="preserve">Cell legend</t>
  </si>
  <si>
    <t xml:space="preserve">Blue on cream</t>
  </si>
  <si>
    <t xml:space="preserve">You fill this in. Every input in the workbook is marked this way.</t>
  </si>
  <si>
    <t xml:space="preserve">Black on grey</t>
  </si>
  <si>
    <t xml:space="preserve">A formula. Do not overwrite it — the result will stop updating.</t>
  </si>
  <si>
    <t xml:space="preserve">Green</t>
  </si>
  <si>
    <t xml:space="preserve">A figure pulled from another sheet.</t>
  </si>
  <si>
    <t xml:space="preserve">Orange fill</t>
  </si>
  <si>
    <t xml:space="preserve">A constraint is binding here, or a figure is missing that the score needs.</t>
  </si>
  <si>
    <t xml:space="preserve">Scoring scale (0–5)</t>
  </si>
  <si>
    <t xml:space="preserve">Band</t>
  </si>
  <si>
    <t xml:space="preserve">Name</t>
  </si>
  <si>
    <t xml:space="preserve">What a score at this level means</t>
  </si>
  <si>
    <t xml:space="preserve">L0</t>
  </si>
  <si>
    <t xml:space="preserve">Improvised</t>
  </si>
  <si>
    <t xml:space="preserve">Response is individual heroics. The outcome depends on who happens to be on shift. This is a build project, not an improvement project.</t>
  </si>
  <si>
    <t xml:space="preserve">L1</t>
  </si>
  <si>
    <t xml:space="preserve">Documented</t>
  </si>
  <si>
    <t xml:space="preserve">Plans exist on paper. Execution is unrehearsed and personality-dependent. The document has never met a clock.</t>
  </si>
  <si>
    <t xml:space="preserve">L2</t>
  </si>
  <si>
    <t xml:space="preserve">Repeatable</t>
  </si>
  <si>
    <t xml:space="preserve">Playbooks and tooling are in place and consistently executed for known scenarios, but remain unproven under time pressure. The most common band, and the band where response spending most exceeds response capability.</t>
  </si>
  <si>
    <t xml:space="preserve">L3</t>
  </si>
  <si>
    <t xml:space="preserve">Threat-informed</t>
  </si>
  <si>
    <t xml:space="preserve">Response traces to modelled attack paths and crown jewels. Containment is pre-authorised. Exercises are regular and evidenced. The realistic target for most organisations.</t>
  </si>
  <si>
    <t xml:space="preserve">L4</t>
  </si>
  <si>
    <t xml:space="preserve">Validated</t>
  </si>
  <si>
    <t xml:space="preserve">A standing validation function exists. Containment is demonstrably inside the breakout window for priority actors. Requires tempo evidence.</t>
  </si>
  <si>
    <t xml:space="preserve">L5</t>
  </si>
  <si>
    <t xml:space="preserve">Adaptive</t>
  </si>
  <si>
    <t xml:space="preserve">Response adapts as the threat model changes. Treat any L5 claim with scepticism unless the evidence is exceptional.</t>
  </si>
  <si>
    <t xml:space="preserve">Licence</t>
  </si>
  <si>
    <t xml:space="preserve">The TIR-CMM model, its domains, sub-capabilities, weights and constraints are licensed CC BY-ND 4.0. The machine-readable model and schemas are CC BY 4.0. You may use this workbook to assess your own organisation, and to advise clients, with attribution. You may not publish a modified model under the TIR-CMM name.</t>
  </si>
  <si>
    <t xml:space="preserve">Reza Adineh, UTIOM · tir-cmm.com · model version 1.0</t>
  </si>
  <si>
    <t xml:space="preserve">1 · Context</t>
  </si>
  <si>
    <t xml:space="preserve">Who is being assessed, how deep the assessment goes, and what you can see. Fill the blue cells.</t>
  </si>
  <si>
    <t xml:space="preserve">Organisation</t>
  </si>
  <si>
    <t xml:space="preserve">Business unit or scope</t>
  </si>
  <si>
    <t xml:space="preserve">Assessor</t>
  </si>
  <si>
    <t xml:space="preserve">Assessment date</t>
  </si>
  <si>
    <t xml:space="preserve">Enter as YYYY-MM-DD. Every recency test is measured from this date: proof older than 12 months, or proof with no date, reverts a lattice cell from Proven to Engineered.</t>
  </si>
  <si>
    <t xml:space="preserve">Next review due</t>
  </si>
  <si>
    <t xml:space="preserve">Assessment tier</t>
  </si>
  <si>
    <t xml:space="preserve">Tier (pulse / baseline / assurance)</t>
  </si>
  <si>
    <t xml:space="preserve">baseline</t>
  </si>
  <si>
    <t xml:space="preserve">Ceiling:</t>
  </si>
  <si>
    <t xml:space="preserve">Detection reality check</t>
  </si>
  <si>
    <t xml:space="preserve">TIR-CMM does not assume you have run TID-CMM. If you have, enter the overall score below and skip the eight questions. If you have not, answer at least six of them: constraint R4 needs a detection figure, and without one the band is capped at L3. A self-assessed figure caps the band at L4.</t>
  </si>
  <si>
    <t xml:space="preserve">TID-CMM overall score, if you have one (0–5)</t>
  </si>
  <si>
    <t xml:space="preserve">Question</t>
  </si>
  <si>
    <t xml:space="preserve">Your score</t>
  </si>
  <si>
    <t xml:space="preserve">Anchors: 0 / 3 / 5</t>
  </si>
  <si>
    <t xml:space="preserve">PD-1 · Telemetry coverage of crown jewels</t>
  </si>
  <si>
    <t xml:space="preserve">0 — We do not know what we collect from our most critical systems.   |   3 — We know our log sources and they cover our crown-jewel systems.   |   5 — Telemetry coverage is mapped per system, monitored for health, and gaps are tracked.</t>
  </si>
  <si>
    <t xml:space="preserve">PD-2 · Where detection content comes from</t>
  </si>
  <si>
    <t xml:space="preserve">0 — Whatever the vendor shipped, unmodified.   |   3 — A mix of vendor content and rules we wrote for our own environment.   |   5 — Content derives from adversary behaviours we modelled for our own estate.</t>
  </si>
  <si>
    <t xml:space="preserve">PD-3 · Detection testing</t>
  </si>
  <si>
    <t xml:space="preserve">0 — We have never tested whether our detections fire.   |   3 — We test significant detections when we build them.   |   5 — Detections are tested on a schedule against emulated adversary behaviour.</t>
  </si>
  <si>
    <t xml:space="preserve">PD-4 · Alert quality reaching a responder</t>
  </si>
  <si>
    <t xml:space="preserve">0 — Analysts triage raw alerts with no context.   |   3 — Alerts arrive enriched with asset and identity context.   |   5 — Alert-to-case fidelity is measured and false-negative rate is understood.</t>
  </si>
  <si>
    <t xml:space="preserve">PD-5 · Identity and cloud detection coverage</t>
  </si>
  <si>
    <t xml:space="preserve">0 — Detection is essentially endpoint-only.   |   3 — We have working detection for identity and cloud control-plane abuse.   |   5 — Identity, cloud and SaaS detection is as mature as endpoint, and validated.</t>
  </si>
  <si>
    <t xml:space="preserve">Threat modelling reality check</t>
  </si>
  <si>
    <t xml:space="preserve">PM-1 · Crown jewel definition</t>
  </si>
  <si>
    <t xml:space="preserve">0 — No agreed list of what must not fail.   |   3 — An agreed, documented crown-jewel list owned by the business.   |   5 — Crown jewels are defined by business impact, reviewed, and drive security investment.</t>
  </si>
  <si>
    <t xml:space="preserve">PM-2 · Attack path modelling</t>
  </si>
  <si>
    <t xml:space="preserve">0 — We have never mapped how an adversary would reach our crown jewels.   |   3 — We have modelled the main attack paths to our critical systems.   |   5 — Attack paths are modelled, validated by testing, and maintained as the estate changes.</t>
  </si>
  <si>
    <t xml:space="preserve">PM-3 · Adversary prioritisation</t>
  </si>
  <si>
    <t xml:space="preserve">0 — We defend against threats in general.   |   3 — We have named the threat actors and scenarios most likely to target us.   |   5 — Actor prioritisation is intelligence-led, documented, and drives control decisions.</t>
  </si>
  <si>
    <t xml:space="preserve">Resolved detection position</t>
  </si>
  <si>
    <t xml:space="preserve">Detection questions answered</t>
  </si>
  <si>
    <t xml:space="preserve">Six or more unlocks the L4 ceiling. Fewer leaves the band capped at L3.</t>
  </si>
  <si>
    <t xml:space="preserve">Self-assessed detection score</t>
  </si>
  <si>
    <t xml:space="preserve">Mean of PD-1 to PD-5, over the questions you answered.</t>
  </si>
  <si>
    <t xml:space="preserve">Self-assessed threat-modelling score</t>
  </si>
  <si>
    <t xml:space="preserve">Mean of PM-1 to PM-3. Context for RA, not an input to R4.</t>
  </si>
  <si>
    <t xml:space="preserve">Source used</t>
  </si>
  <si>
    <t xml:space="preserve">An imported TID-CMM score always wins over the self-assessment.</t>
  </si>
  <si>
    <t xml:space="preserve">Detection figure fed to R4</t>
  </si>
  <si>
    <t xml:space="preserve">Constraint R4 caps RE, CE and FI at this figure plus one.</t>
  </si>
  <si>
    <t xml:space="preserve">Band ceiling from detection source</t>
  </si>
  <si>
    <t xml:space="preserve">An audited detection assessment removes this ceiling entirely.</t>
  </si>
  <si>
    <t xml:space="preserve">2 · Who targets you, and how fast</t>
  </si>
  <si>
    <t xml:space="preserve">Pick a priority actor from the list, or type your own name and figure. Everything downstream compares your response times against this one number.</t>
  </si>
  <si>
    <t xml:space="preserve">Priority actor</t>
  </si>
  <si>
    <t xml:space="preserve">eCrime — current average</t>
  </si>
  <si>
    <t xml:space="preserve">Choose from the preset list, or type your own.</t>
  </si>
  <si>
    <t xml:space="preserve">Breakout time (minutes)</t>
  </si>
  <si>
    <t xml:space="preserve">or overtype</t>
  </si>
  <si>
    <t xml:space="preserve">The window between first foothold and lateral movement. Your total response time is measured against it.</t>
  </si>
  <si>
    <t xml:space="preserve">Basis for the figure</t>
  </si>
  <si>
    <t xml:space="preserve">An estimate is legitimate input, but it cannot evidence an L4 claim on its own — say so in the report.</t>
  </si>
  <si>
    <t xml:space="preserve">Your measured response tempo</t>
  </si>
  <si>
    <t xml:space="preserve">Time the three intervals separately over your last ten incidents. Decide is the interval TIR-CMM exists to expose: it is the time between knowing and being allowed to act, and it disappears inside MTTR.</t>
  </si>
  <si>
    <t xml:space="preserve">Interval</t>
  </si>
  <si>
    <t xml:space="preserve">Minutes</t>
  </si>
  <si>
    <t xml:space="preserve">What it measures</t>
  </si>
  <si>
    <t xml:space="preserve">MTTDetect</t>
  </si>
  <si>
    <t xml:space="preserve">Adversary action to a human or system knowing about it.</t>
  </si>
  <si>
    <t xml:space="preserve">MTTDecide</t>
  </si>
  <si>
    <t xml:space="preserve">Knowing to being authorised to act. The interval this model exists to surface.</t>
  </si>
  <si>
    <t xml:space="preserve">MTTContain</t>
  </si>
  <si>
    <t xml:space="preserve">Authorisation to the adversary losing the capability in question.</t>
  </si>
  <si>
    <t xml:space="preserve">Total time to contain</t>
  </si>
  <si>
    <t xml:space="preserve">All three intervals are required. A partial figure is not a tempo measurement.</t>
  </si>
  <si>
    <t xml:space="preserve">Margin against breakout (min)</t>
  </si>
  <si>
    <t xml:space="preserve">Negative means the adversary has already moved on by the time you contain.</t>
  </si>
  <si>
    <t xml:space="preserve">Tempo Ratio</t>
  </si>
  <si>
    <t xml:space="preserve">Below 1.0 you are inside the window. At or above 1.0 the band is capped at L2; at or above 2.0, L1 (constraint R5).</t>
  </si>
  <si>
    <t xml:space="preserve">Share of the delay spent deciding</t>
  </si>
  <si>
    <t xml:space="preserve">If deciding costs more than containing, the bottleneck is permission, not tooling — and no purchase will move it.</t>
  </si>
  <si>
    <t xml:space="preserve">Preset reference</t>
  </si>
  <si>
    <t xml:space="preserve">Actor</t>
  </si>
  <si>
    <t xml:space="preserve">Breakout (min)</t>
  </si>
  <si>
    <t xml:space="preserve">Basis</t>
  </si>
  <si>
    <t xml:space="preserve">Notes and source</t>
  </si>
  <si>
    <t xml:space="preserve">Published</t>
  </si>
  <si>
    <t xml:space="preserve">The published average across observed eCrime intrusions. The sensible default if you have no figure of your own.  Source: CrowdStrike Global Threat Report 2026.</t>
  </si>
  <si>
    <t xml:space="preserve">eCrime — fastest observed</t>
  </si>
  <si>
    <t xml:space="preserve">The fastest recorded breakout (27 seconds, rounded up to 1 minute). Use as a stress case, not a planning average.  Source: CrowdStrike Global Threat Report 2026.</t>
  </si>
  <si>
    <t xml:space="preserve">eCrime — 2024 baseline</t>
  </si>
  <si>
    <t xml:space="preserve">The prior-year average. Useful to show the direction of travel against your own unchanged response times.  Source: CrowdStrike Global Threat Report 2025.</t>
  </si>
  <si>
    <t xml:space="preserve">Ransomware affiliate, hands-on-keyboard</t>
  </si>
  <si>
    <t xml:space="preserve">Estimate</t>
  </si>
  <si>
    <t xml:space="preserve">A human operator working an affiliate playbook towards domain admin and backup destruction.  Source: Archetype estimate.</t>
  </si>
  <si>
    <t xml:space="preserve">Big-game ransomware, staged intrusion</t>
  </si>
  <si>
    <t xml:space="preserve">Slower initial movement, deliberate reconnaissance, then a fast and coordinated impact stage.  Source: Archetype estimate.</t>
  </si>
  <si>
    <t xml:space="preserve">Espionage / nation-state, patient</t>
  </si>
  <si>
    <t xml:space="preserve">Optimised for persistence and quiet collection. Breakout is not the binding constraint; dwell time is.  Source: Archetype estimate.</t>
  </si>
  <si>
    <t xml:space="preserve">Insider, low and slow</t>
  </si>
  <si>
    <t xml:space="preserve">Legitimate access already held. Lateral movement may be unnecessary, so treat breakout as a weak proxy here.  Source: Archetype estimate.</t>
  </si>
  <si>
    <t xml:space="preserve">3 · Capability scoring</t>
  </si>
  <si>
    <t xml:space="preserve">Score each sub-capability 0–5 against the level-3 anchor, then grade the evidence you could show an auditor. Evidence is a ceiling, not a score: it permits a high number, it does not create one.</t>
  </si>
  <si>
    <t xml:space="preserve">Domain</t>
  </si>
  <si>
    <t xml:space="preserve">Domain %</t>
  </si>
  <si>
    <t xml:space="preserve">ID</t>
  </si>
  <si>
    <t xml:space="preserve">Sub-capability</t>
  </si>
  <si>
    <t xml:space="preserve">Sub %</t>
  </si>
  <si>
    <t xml:space="preserve">What a 3 looks like</t>
  </si>
  <si>
    <t xml:space="preserve">Your score 0–5</t>
  </si>
  <si>
    <t xml:space="preserve">Evidence class</t>
  </si>
  <si>
    <t xml:space="preserve">Evidence date (YYYY-MM-DD)</t>
  </si>
  <si>
    <t xml:space="preserve">Evidence ref / artifact</t>
  </si>
  <si>
    <t xml:space="preserve">Class after recency</t>
  </si>
  <si>
    <t xml:space="preserve">Evidence cap</t>
  </si>
  <si>
    <t xml:space="preserve">Effective score</t>
  </si>
  <si>
    <t xml:space="preserve">R3 effect</t>
  </si>
  <si>
    <t xml:space="preserve">Evidence expected</t>
  </si>
  <si>
    <t xml:space="preserve">Respond</t>
  </si>
  <si>
    <t xml:space="preserve">Recover</t>
  </si>
  <si>
    <t xml:space="preserve">Resilience</t>
  </si>
  <si>
    <t xml:space="preserve">Answered</t>
  </si>
  <si>
    <t xml:space="preserve">Raw (num)</t>
  </si>
  <si>
    <t xml:space="preserve">Eff (num)</t>
  </si>
  <si>
    <t xml:space="preserve">RP · Response Preparation &amp; Readiness</t>
  </si>
  <si>
    <t xml:space="preserve">RP-1</t>
  </si>
  <si>
    <t xml:space="preserve">Incident response plan and scope</t>
  </si>
  <si>
    <t xml:space="preserve">Plan is organisation-specific, names roles, covers cloud/identity/OT as applicable, reviewed annually.</t>
  </si>
  <si>
    <t xml:space="preserve">Plan document + version history + incident references</t>
  </si>
  <si>
    <t xml:space="preserve">RP-2</t>
  </si>
  <si>
    <t xml:space="preserve">Severity and classification model</t>
  </si>
  <si>
    <t xml:space="preserve">Documented severity matrix driven by crown-jewel and business impact, applied consistently.</t>
  </si>
  <si>
    <t xml:space="preserve">Severity matrix + sample of classified incidents</t>
  </si>
  <si>
    <t xml:space="preserve">RP-3</t>
  </si>
  <si>
    <t xml:space="preserve">Roles, rotas and 24×7 reachability</t>
  </si>
  <si>
    <t xml:space="preserve">Named IR roles, documented rota, tested reachability, defined deputies.</t>
  </si>
  <si>
    <t xml:space="preserve">Rota + unannounced call-out test records</t>
  </si>
  <si>
    <t xml:space="preserve">RP-4</t>
  </si>
  <si>
    <t xml:space="preserve">Response tooling readiness</t>
  </si>
  <si>
    <t xml:space="preserve">Response tooling (EDR console, SOAR, forensic kit, out-of-band comms) is inventoried and access-tested.</t>
  </si>
  <si>
    <t xml:space="preserve">Tool inventory + access test log</t>
  </si>
  <si>
    <t xml:space="preserve">RP-5</t>
  </si>
  <si>
    <t xml:space="preserve">Out-of-band communications and war-room</t>
  </si>
  <si>
    <t xml:space="preserve">Documented out-of-band channel and bridge, contact tree maintained.</t>
  </si>
  <si>
    <t xml:space="preserve">Exercise report showing out-of-band use</t>
  </si>
  <si>
    <t xml:space="preserve">RP-6</t>
  </si>
  <si>
    <t xml:space="preserve">Third-party, retainer and supplier readiness</t>
  </si>
  <si>
    <t xml:space="preserve">IR retainer or in-house equivalent in place, SLAs known, onboarding pre-completed.</t>
  </si>
  <si>
    <t xml:space="preserve">Retainer contract + activation or exercise record</t>
  </si>
  <si>
    <t xml:space="preserve">RP-7</t>
  </si>
  <si>
    <t xml:space="preserve">Legal, regulatory and communications preparation</t>
  </si>
  <si>
    <t xml:space="preserve">Reporting obligations mapped (GDPR/DORA/NIS2/sector), counsel identified, holding statements drafted.</t>
  </si>
  <si>
    <t xml:space="preserve">Obligation register + evidence of clock adherence</t>
  </si>
  <si>
    <t xml:space="preserve">RA · Response Authority &amp; Decision Rights</t>
  </si>
  <si>
    <t xml:space="preserve">RA-1</t>
  </si>
  <si>
    <t xml:space="preserve">Pre-authorised containment actions</t>
  </si>
  <si>
    <t xml:space="preserve">A defined set of containment actions is pre-authorised by asset class and severity, documented and signed off by business owners.</t>
  </si>
  <si>
    <t xml:space="preserve">Signed authorisation matrix mapped to lattice cells</t>
  </si>
  <si>
    <t xml:space="preserve">RA-2</t>
  </si>
  <si>
    <t xml:space="preserve">Decision latency measurement (MTTDecide)</t>
  </si>
  <si>
    <t xml:space="preserve">MTTDecide is measured separately from MTTR, per severity, and reported.</t>
  </si>
  <si>
    <t xml:space="preserve">Metric series with timestamps from the case system</t>
  </si>
  <si>
    <t xml:space="preserve">RA-3</t>
  </si>
  <si>
    <t xml:space="preserve">Escalation thresholds and triggers</t>
  </si>
  <si>
    <t xml:space="preserve">Documented, objective escalation triggers tied to severity and crown-jewel involvement.</t>
  </si>
  <si>
    <t xml:space="preserve">Trigger definitions + escalation audit trail</t>
  </si>
  <si>
    <t xml:space="preserve">RA-4</t>
  </si>
  <si>
    <t xml:space="preserve">Out-of-hours and degraded-mode authority</t>
  </si>
  <si>
    <t xml:space="preserve">Named out-of-hours decision authority with documented deputies and a defined maximum response time.</t>
  </si>
  <si>
    <t xml:space="preserve">Unannounced out-of-hours exercise record</t>
  </si>
  <si>
    <t xml:space="preserve">RA-5</t>
  </si>
  <si>
    <t xml:space="preserve">Business impact acceptance and risk ownership</t>
  </si>
  <si>
    <t xml:space="preserve">Business owners have accepted, in advance and in writing, the disruption cost of defined containment tiers.</t>
  </si>
  <si>
    <t xml:space="preserve">Signed impact-acceptance records</t>
  </si>
  <si>
    <t xml:space="preserve">RA-6</t>
  </si>
  <si>
    <t xml:space="preserve">Crisis and executive decision structure</t>
  </si>
  <si>
    <t xml:space="preserve">Documented crisis management structure with defined activation criteria and executive decision rights.</t>
  </si>
  <si>
    <t xml:space="preserve">Crisis activation log + executive exercise record</t>
  </si>
  <si>
    <t xml:space="preserve">RE · Response Engineering &amp; Playbooks</t>
  </si>
  <si>
    <t xml:space="preserve">RE-1</t>
  </si>
  <si>
    <t xml:space="preserve">Playbook coverage of the lattice</t>
  </si>
  <si>
    <t xml:space="preserve">Every Tier-1 and Tier-2 lattice cell has an associated playbook or documented response procedure.</t>
  </si>
  <si>
    <t xml:space="preserve">Playbook-to-cell coverage map</t>
  </si>
  <si>
    <t xml:space="preserve">RE-2</t>
  </si>
  <si>
    <t xml:space="preserve">Threat-informed derivation</t>
  </si>
  <si>
    <t xml:space="preserve">Playbooks derive from modelled attack paths, crown jewels and priority actor TTPs.</t>
  </si>
  <si>
    <t xml:space="preserve">Traceability matrix: actor → path → stage → asset → playbook</t>
  </si>
  <si>
    <t xml:space="preserve">RE-3</t>
  </si>
  <si>
    <t xml:space="preserve">Playbook-as-code and version control</t>
  </si>
  <si>
    <t xml:space="preserve">Playbooks are stored in version control with review, history and change approval.</t>
  </si>
  <si>
    <t xml:space="preserve">Repository + CI pipeline evidence</t>
  </si>
  <si>
    <t xml:space="preserve">RE-4</t>
  </si>
  <si>
    <t xml:space="preserve">Playbook testing before release</t>
  </si>
  <si>
    <t xml:space="preserve">Every playbook is executed in a test or staging context before production release.</t>
  </si>
  <si>
    <t xml:space="preserve">CI test results</t>
  </si>
  <si>
    <t xml:space="preserve">RE-5</t>
  </si>
  <si>
    <t xml:space="preserve">Parameterisation and reusability</t>
  </si>
  <si>
    <t xml:space="preserve">Playbooks are built from reusable, parameterised response actions rather than duplicated steps.</t>
  </si>
  <si>
    <t xml:space="preserve">Response-action library + composition evidence</t>
  </si>
  <si>
    <t xml:space="preserve">RE-6</t>
  </si>
  <si>
    <t xml:space="preserve">Decision points and human gates</t>
  </si>
  <si>
    <t xml:space="preserve">Playbooks contain explicit decision points, named decision owners, and defined default actions on timeout.</t>
  </si>
  <si>
    <t xml:space="preserve">Playbook with instrumented decision points</t>
  </si>
  <si>
    <t xml:space="preserve">RE-7</t>
  </si>
  <si>
    <t xml:space="preserve">Playbook lifecycle and deprecation</t>
  </si>
  <si>
    <t xml:space="preserve">Playbooks have owners, review cycles and a deprecation process.</t>
  </si>
  <si>
    <t xml:space="preserve">Lifecycle register + health metrics</t>
  </si>
  <si>
    <t xml:space="preserve">RE-8</t>
  </si>
  <si>
    <t xml:space="preserve">Response action mapping to ontology</t>
  </si>
  <si>
    <t xml:space="preserve">Response actions are mapped to RE&amp;CT RA-codes and/or D3FEND techniques.</t>
  </si>
  <si>
    <t xml:space="preserve">Mapping export</t>
  </si>
  <si>
    <t xml:space="preserve">RE-9</t>
  </si>
  <si>
    <t xml:space="preserve">Cross-domain response content</t>
  </si>
  <si>
    <t xml:space="preserve">Playbooks exist for identity, cloud control plane and SaaS compromise, and OT where applicable.</t>
  </si>
  <si>
    <t xml:space="preserve">Domain-specific playbooks + exercise evidence</t>
  </si>
  <si>
    <t xml:space="preserve">RE-10</t>
  </si>
  <si>
    <t xml:space="preserve">Response content sharing and reuse</t>
  </si>
  <si>
    <t xml:space="preserve">Playbooks and actions are shared across teams and regions against a common standard.</t>
  </si>
  <si>
    <t xml:space="preserve">Shared repository or contribution record</t>
  </si>
  <si>
    <t xml:space="preserve">CE · Containment, Eradication &amp; Recovery</t>
  </si>
  <si>
    <t xml:space="preserve">CE-1</t>
  </si>
  <si>
    <t xml:space="preserve">Tiered containment options per asset class</t>
  </si>
  <si>
    <t xml:space="preserve">Each asset class has graded containment tiers (observe / restrict / isolate / disable) with documented business impact.</t>
  </si>
  <si>
    <t xml:space="preserve">Containment tier matrix + exercise data</t>
  </si>
  <si>
    <t xml:space="preserve">CE-2</t>
  </si>
  <si>
    <t xml:space="preserve">Blast radius control and reversibility</t>
  </si>
  <si>
    <t xml:space="preserve">Blast radius is documented per action; every action has a defined rollback.</t>
  </si>
  <si>
    <t xml:space="preserve">Rollback test records</t>
  </si>
  <si>
    <t xml:space="preserve">CE-3</t>
  </si>
  <si>
    <t xml:space="preserve">Identity containment (Tier-0)</t>
  </si>
  <si>
    <t xml:space="preserve">Session revocation, credential reset, token invalidation and trust-break procedures exist and are owned.</t>
  </si>
  <si>
    <t xml:space="preserve">Exercise record with timings</t>
  </si>
  <si>
    <t xml:space="preserve">CE-4</t>
  </si>
  <si>
    <t xml:space="preserve">Network and egress containment</t>
  </si>
  <si>
    <t xml:space="preserve">Egress blocking, sinkholing and segment isolation are available and documented.</t>
  </si>
  <si>
    <t xml:space="preserve">Automation + propagation timing evidence</t>
  </si>
  <si>
    <t xml:space="preserve">CE-5</t>
  </si>
  <si>
    <t xml:space="preserve">Eradication completeness and re-entry prevention</t>
  </si>
  <si>
    <t xml:space="preserve">Eradication addresses persistence, credentials and access paths, with a documented completeness checklist.</t>
  </si>
  <si>
    <t xml:space="preserve">Eradication verification records + reinfection metric</t>
  </si>
  <si>
    <t xml:space="preserve">CE-6</t>
  </si>
  <si>
    <t xml:space="preserve">Recovery, restoration and integrity verification</t>
  </si>
  <si>
    <t xml:space="preserve">Recovery procedures are integrated with IR, with defined RTO/RPO for crown jewels and integrity verification before return.</t>
  </si>
  <si>
    <t xml:space="preserve">Recovery exercise report</t>
  </si>
  <si>
    <t xml:space="preserve">CE-7</t>
  </si>
  <si>
    <t xml:space="preserve">Backup resilience against destructive attack</t>
  </si>
  <si>
    <t xml:space="preserve">Immutable or logically isolated backups exist for crown jewels, with separate credentials.</t>
  </si>
  <si>
    <t xml:space="preserve">Restore test record at scale</t>
  </si>
  <si>
    <t xml:space="preserve">CE-8</t>
  </si>
  <si>
    <t xml:space="preserve">Degraded-mode and business continuity operation</t>
  </si>
  <si>
    <t xml:space="preserve">Documented degraded-mode operation for crown-jewel services, agreed with the business.</t>
  </si>
  <si>
    <t xml:space="preserve">Continuity exercise record</t>
  </si>
  <si>
    <t xml:space="preserve">AO · Automation &amp; Orchestration</t>
  </si>
  <si>
    <t xml:space="preserve">AO-1</t>
  </si>
  <si>
    <t xml:space="preserve">Enrichment and triage automation</t>
  </si>
  <si>
    <t xml:space="preserve">Automated enrichment of alerts (asset, identity, intel, prior cases) before analyst contact.</t>
  </si>
  <si>
    <t xml:space="preserve">Time-to-context metric series</t>
  </si>
  <si>
    <t xml:space="preserve">AO-2</t>
  </si>
  <si>
    <t xml:space="preserve">Automated containment coverage</t>
  </si>
  <si>
    <t xml:space="preserve">Automated containment exists for defined low-risk, high-confidence scenarios with pre-authorisation.</t>
  </si>
  <si>
    <t xml:space="preserve">Automation coverage map + execution success rate</t>
  </si>
  <si>
    <t xml:space="preserve">AO-3</t>
  </si>
  <si>
    <t xml:space="preserve">Human-in-the-loop gate design</t>
  </si>
  <si>
    <t xml:space="preserve">Gates are explicitly designed: which actions require a human, which do not, and what happens on timeout.</t>
  </si>
  <si>
    <t xml:space="preserve">Gate design document + latency data</t>
  </si>
  <si>
    <t xml:space="preserve">AO-4</t>
  </si>
  <si>
    <t xml:space="preserve">Integration coverage and API depth</t>
  </si>
  <si>
    <t xml:space="preserve">The orchestration platform integrates with the tools controlling every in-scope asset class.</t>
  </si>
  <si>
    <t xml:space="preserve">Integration inventory + health monitoring</t>
  </si>
  <si>
    <t xml:space="preserve">AO-5</t>
  </si>
  <si>
    <t xml:space="preserve">Automation reliability, safety and rollback</t>
  </si>
  <si>
    <t xml:space="preserve">Automation has error handling, safety limits (rate and scope caps) and rollback paths.</t>
  </si>
  <si>
    <t xml:space="preserve">Reliability metrics + safety test evidence</t>
  </si>
  <si>
    <t xml:space="preserve">AO-6</t>
  </si>
  <si>
    <t xml:space="preserve">Case management and workflow integrity</t>
  </si>
  <si>
    <t xml:space="preserve">A case system holds all incidents with structured timeline, actions and timestamps.</t>
  </si>
  <si>
    <t xml:space="preserve">Automated derivation of MTTD/MTTDecide/MTTC from case data</t>
  </si>
  <si>
    <t xml:space="preserve">AO-7</t>
  </si>
  <si>
    <t xml:space="preserve">Automation change control</t>
  </si>
  <si>
    <t xml:space="preserve">Automation changes go through review and testing before deployment.</t>
  </si>
  <si>
    <t xml:space="preserve">CI/CD evidence</t>
  </si>
  <si>
    <t xml:space="preserve">FI · Forensics, Evidence &amp; Investigation</t>
  </si>
  <si>
    <t xml:space="preserve">FI-1</t>
  </si>
  <si>
    <t xml:space="preserve">Triage and scoping capability</t>
  </si>
  <si>
    <t xml:space="preserve">Structured triage produces a defensible scope: affected assets, identities and timeframe.</t>
  </si>
  <si>
    <t xml:space="preserve">Scope-accuracy review records</t>
  </si>
  <si>
    <t xml:space="preserve">FI-2</t>
  </si>
  <si>
    <t xml:space="preserve">Evidence acquisition capability</t>
  </si>
  <si>
    <t xml:space="preserve">Volatile and disk acquisition is possible for each in-scope asset class within a defined time.</t>
  </si>
  <si>
    <t xml:space="preserve">Acquisition test records including cloud and ephemeral workloads</t>
  </si>
  <si>
    <t xml:space="preserve">FI-3</t>
  </si>
  <si>
    <t xml:space="preserve">Chain of custody and evidence handling</t>
  </si>
  <si>
    <t xml:space="preserve">Documented chain of custody suitable for internal disciplinary and insurance purposes.</t>
  </si>
  <si>
    <t xml:space="preserve">Custody procedure + legal review</t>
  </si>
  <si>
    <t xml:space="preserve">FI-4</t>
  </si>
  <si>
    <t xml:space="preserve">Timeline reconstruction</t>
  </si>
  <si>
    <t xml:space="preserve">Incident timelines are produced for significant incidents with source attribution.</t>
  </si>
  <si>
    <t xml:space="preserve">Sample timelines + automation</t>
  </si>
  <si>
    <t xml:space="preserve">FI-5</t>
  </si>
  <si>
    <t xml:space="preserve">Log and evidence retention adequacy</t>
  </si>
  <si>
    <t xml:space="preserve">Retention for crown-jewel-relevant sources exceeds median dwell time for priority actors.</t>
  </si>
  <si>
    <t xml:space="preserve">Retention policy + successful historical lookback case</t>
  </si>
  <si>
    <t xml:space="preserve">FI-6</t>
  </si>
  <si>
    <t xml:space="preserve">Malware and artefact analysis access</t>
  </si>
  <si>
    <t xml:space="preserve">Analysis capability available in-house or via retainer, with defined turnaround.</t>
  </si>
  <si>
    <t xml:space="preserve">Analysis reports + resulting detection or playbook changes</t>
  </si>
  <si>
    <t xml:space="preserve">RV · Response Validation &amp; Exercising</t>
  </si>
  <si>
    <t xml:space="preserve">RV-1</t>
  </si>
  <si>
    <t xml:space="preserve">Tabletop exercise programme</t>
  </si>
  <si>
    <t xml:space="preserve">Regular tabletops covering crown-jewel scenarios with the right participants, findings tracked.</t>
  </si>
  <si>
    <t xml:space="preserve">Exercise reports + remediation tracking</t>
  </si>
  <si>
    <t xml:space="preserve">RV-2</t>
  </si>
  <si>
    <t xml:space="preserve">Technical live-fire exercising</t>
  </si>
  <si>
    <t xml:space="preserve">Playbooks are executed technically against emulated adversary activity in a controlled window.</t>
  </si>
  <si>
    <t xml:space="preserve">Live-fire schedule + results per lattice cell</t>
  </si>
  <si>
    <t xml:space="preserve">RV-3</t>
  </si>
  <si>
    <t xml:space="preserve">Purple team and end-to-end response validation</t>
  </si>
  <si>
    <t xml:space="preserve">Purple team exercises continue through containment and eradication, not stopping at the alert.</t>
  </si>
  <si>
    <t xml:space="preserve">End-to-end purple team reports</t>
  </si>
  <si>
    <t xml:space="preserve">RV-4</t>
  </si>
  <si>
    <t xml:space="preserve">Containment timing measurement under exercise</t>
  </si>
  <si>
    <t xml:space="preserve">Exercises capture MTTD, MTTDecide and MTTC and compare them to breakout time.</t>
  </si>
  <si>
    <t xml:space="preserve">Timing dataset across exercises</t>
  </si>
  <si>
    <t xml:space="preserve">RV-5</t>
  </si>
  <si>
    <t xml:space="preserve">Validation recency and coverage tracking</t>
  </si>
  <si>
    <t xml:space="preserve">Validation status and date tracked per lattice cell, with expiry applied.</t>
  </si>
  <si>
    <t xml:space="preserve">Automated validation register + validation-debt figure</t>
  </si>
  <si>
    <t xml:space="preserve">RV-6</t>
  </si>
  <si>
    <t xml:space="preserve">Failure injection and response-function resilience</t>
  </si>
  <si>
    <t xml:space="preserve">Response is exercised under degraded conditions (key tool unavailable, key person absent, SIEM down).</t>
  </si>
  <si>
    <t xml:space="preserve">Degraded-mode exercise records</t>
  </si>
  <si>
    <t xml:space="preserve">RV-7</t>
  </si>
  <si>
    <t xml:space="preserve">Independent assessment and red team</t>
  </si>
  <si>
    <t xml:space="preserve">Periodic independent red team or assessment includes response effectiveness, not just breach success.</t>
  </si>
  <si>
    <t xml:space="preserve">Independent report + closure evidence</t>
  </si>
  <si>
    <t xml:space="preserve">RG · Response Governance, Metrics &amp; Improvement</t>
  </si>
  <si>
    <t xml:space="preserve">RG-1</t>
  </si>
  <si>
    <t xml:space="preserve">Response metrics programme</t>
  </si>
  <si>
    <t xml:space="preserve">MTTD, MTTDecide, MTTC, MTTR and containment success are measured and reported.</t>
  </si>
  <si>
    <t xml:space="preserve">Metric definitions + reporting history</t>
  </si>
  <si>
    <t xml:space="preserve">RG-2</t>
  </si>
  <si>
    <t xml:space="preserve">Post-incident review discipline</t>
  </si>
  <si>
    <t xml:space="preserve">Blameless post-incident reviews occur for all significant incidents, with tracked actions.</t>
  </si>
  <si>
    <t xml:space="preserve">PIR records + action closure metrics</t>
  </si>
  <si>
    <t xml:space="preserve">RG-3</t>
  </si>
  <si>
    <t xml:space="preserve">Feedback loop into detection (TID-CMM)</t>
  </si>
  <si>
    <t xml:space="preserve">Incident and exercise findings generate detection engineering work items.</t>
  </si>
  <si>
    <t xml:space="preserve">Linked incident → detection change records</t>
  </si>
  <si>
    <t xml:space="preserve">RG-4</t>
  </si>
  <si>
    <t xml:space="preserve">Feedback loop into architecture and hardening</t>
  </si>
  <si>
    <t xml:space="preserve">Findings generate hardening and architecture work items with owners.</t>
  </si>
  <si>
    <t xml:space="preserve">Linked findings → architecture changes</t>
  </si>
  <si>
    <t xml:space="preserve">RG-5</t>
  </si>
  <si>
    <t xml:space="preserve">Response capability ownership and funding</t>
  </si>
  <si>
    <t xml:space="preserve">Named owner and dedicated budget for response engineering, distinct from SOC staffing.</t>
  </si>
  <si>
    <t xml:space="preserve">Budget + prioritisation evidence</t>
  </si>
  <si>
    <t xml:space="preserve">RG-6</t>
  </si>
  <si>
    <t xml:space="preserve">Regulatory and executive reporting</t>
  </si>
  <si>
    <t xml:space="preserve">Defined reporting packs and regulatory notification procedures, with owners and clocks.</t>
  </si>
  <si>
    <t xml:space="preserve">Reporting evidence with timestamps</t>
  </si>
  <si>
    <t xml:space="preserve">RG-7</t>
  </si>
  <si>
    <t xml:space="preserve">Continuous improvement cadence</t>
  </si>
  <si>
    <t xml:space="preserve">A regular cadence reviews response capability against the model and adjusts the backlog.</t>
  </si>
  <si>
    <t xml:space="preserve">Reassessment history</t>
  </si>
  <si>
    <t xml:space="preserve">4 · Containment lattice</t>
  </si>
  <si>
    <t xml:space="preserve">One row per attack-path stage against each asset class. Mark the cells that matter to you in scope — a typical scope is 24 to 38 of the 64. For each, record what response option genuinely exists today. A cell at status 0 on a crown jewel is a place you would watch it happen.</t>
  </si>
  <si>
    <t xml:space="preserve">Stage</t>
  </si>
  <si>
    <t xml:space="preserve">Stage name</t>
  </si>
  <si>
    <t xml:space="preserve">Asset</t>
  </si>
  <si>
    <t xml:space="preserve">Asset class</t>
  </si>
  <si>
    <t xml:space="preserve">In scope? (y/n)</t>
  </si>
  <si>
    <t xml:space="preserve">Criticality tier</t>
  </si>
  <si>
    <t xml:space="preserve">Response status 0–3</t>
  </si>
  <si>
    <t xml:space="preserve">Last proven (YYYY-MM-DD)</t>
  </si>
  <si>
    <t xml:space="preserve">Proof superseded? (y/n)</t>
  </si>
  <si>
    <t xml:space="preserve">Tier (num)</t>
  </si>
  <si>
    <t xml:space="preserve">Declared (num)</t>
  </si>
  <si>
    <t xml:space="preserve">Status after recency</t>
  </si>
  <si>
    <t xml:space="preserve">Counted</t>
  </si>
  <si>
    <t xml:space="preserve">λ leverage</t>
  </si>
  <si>
    <t xml:space="preserve">Gap weight</t>
  </si>
  <si>
    <t xml:space="preserve">Blind on crown jewel</t>
  </si>
  <si>
    <t xml:space="preserve">Recency effect</t>
  </si>
  <si>
    <t xml:space="preserve">S0</t>
  </si>
  <si>
    <t xml:space="preserve">Prevent &amp; Harden</t>
  </si>
  <si>
    <t xml:space="preserve">A1</t>
  </si>
  <si>
    <t xml:space="preserve">Identity &amp; Access Infrastructure</t>
  </si>
  <si>
    <t xml:space="preserve">A2</t>
  </si>
  <si>
    <t xml:space="preserve">Endpoint &amp; User Compute</t>
  </si>
  <si>
    <t xml:space="preserve">A3</t>
  </si>
  <si>
    <t xml:space="preserve">Server &amp; Datacentre Workload</t>
  </si>
  <si>
    <t xml:space="preserve">A4</t>
  </si>
  <si>
    <t xml:space="preserve">Cloud Control Plane &amp; SaaS</t>
  </si>
  <si>
    <t xml:space="preserve">A5</t>
  </si>
  <si>
    <t xml:space="preserve">Network &amp; Edge</t>
  </si>
  <si>
    <t xml:space="preserve">A6</t>
  </si>
  <si>
    <t xml:space="preserve">Application, Source &amp; CI/CD</t>
  </si>
  <si>
    <t xml:space="preserve">A7</t>
  </si>
  <si>
    <t xml:space="preserve">Data Stores &amp; Backup</t>
  </si>
  <si>
    <t xml:space="preserve">A8</t>
  </si>
  <si>
    <t xml:space="preserve">OT / ICS / IoT &amp; Specialist</t>
  </si>
  <si>
    <t xml:space="preserve">S1</t>
  </si>
  <si>
    <t xml:space="preserve">Initial Access &amp; Foothold</t>
  </si>
  <si>
    <t xml:space="preserve">S2</t>
  </si>
  <si>
    <t xml:space="preserve">Execution &amp; Persistence</t>
  </si>
  <si>
    <t xml:space="preserve">S3</t>
  </si>
  <si>
    <t xml:space="preserve">Privilege Escalation &amp; Credential Access</t>
  </si>
  <si>
    <t xml:space="preserve">S4</t>
  </si>
  <si>
    <t xml:space="preserve">Discovery &amp; Lateral Movement</t>
  </si>
  <si>
    <t xml:space="preserve">S5</t>
  </si>
  <si>
    <t xml:space="preserve">Collection &amp; Staging</t>
  </si>
  <si>
    <t xml:space="preserve">S6</t>
  </si>
  <si>
    <t xml:space="preserve">Command &amp; Control and Exfiltration</t>
  </si>
  <si>
    <t xml:space="preserve">S7</t>
  </si>
  <si>
    <t xml:space="preserve">Impact &amp; Objective</t>
  </si>
  <si>
    <t xml:space="preserve">5 · Results</t>
  </si>
  <si>
    <t xml:space="preserve">Every figure here is calculated. Nothing on this sheet should be typed over.</t>
  </si>
  <si>
    <t xml:space="preserve">Domain scores and the constraint chain</t>
  </si>
  <si>
    <t xml:space="preserve">Constraints are applied in order: R3 at sub-capability level (already in the effective scores), then R4 detection dependency, then R2 authority ceiling, then R1 rehearsal ceiling. Each column shows what survived the previous one.</t>
  </si>
  <si>
    <t xml:space="preserve">Weight</t>
  </si>
  <si>
    <t xml:space="preserve">Self-scored</t>
  </si>
  <si>
    <t xml:space="preserve">After R3</t>
  </si>
  <si>
    <t xml:space="preserve">After R4</t>
  </si>
  <si>
    <t xml:space="preserve">After R2</t>
  </si>
  <si>
    <t xml:space="preserve">After R1 (final)</t>
  </si>
  <si>
    <t xml:space="preserve">What the domain answers</t>
  </si>
  <si>
    <t xml:space="preserve">Are we set up to run an incident at all?</t>
  </si>
  <si>
    <t xml:space="preserve">Is someone permitted to act, in time?</t>
  </si>
  <si>
    <t xml:space="preserve">Is response engineered, or written?</t>
  </si>
  <si>
    <t xml:space="preserve">Do we have graded options that actually work?</t>
  </si>
  <si>
    <t xml:space="preserve">Does machine speed actually reach the decision?</t>
  </si>
  <si>
    <t xml:space="preserve">Do we know what actually happened?</t>
  </si>
  <si>
    <t xml:space="preserve">Have we proven any of this?</t>
  </si>
  <si>
    <t xml:space="preserve">Does the capability compound?</t>
  </si>
  <si>
    <t xml:space="preserve">Headline scores</t>
  </si>
  <si>
    <t xml:space="preserve">Measure</t>
  </si>
  <si>
    <t xml:space="preserve">Value</t>
  </si>
  <si>
    <t xml:space="preserve">How to read it</t>
  </si>
  <si>
    <t xml:space="preserve">Self-scored overall</t>
  </si>
  <si>
    <t xml:space="preserve">What you would score with no constraints applied. Shown so the cost of each constraint is visible.</t>
  </si>
  <si>
    <t xml:space="preserve">Constrained overall score</t>
  </si>
  <si>
    <t xml:space="preserve">The weighted mean of the domains you answered, after R1 to R4. This is the number the band comes from.</t>
  </si>
  <si>
    <t xml:space="preserve">Domains with an answer</t>
  </si>
  <si>
    <t xml:space="preserve">A domain nobody answered is excluded rather than scored zero. Say how many you left out when you report the band.</t>
  </si>
  <si>
    <t xml:space="preserve">Sub-capabilities scored</t>
  </si>
  <si>
    <t xml:space="preserve">The score rests on this many answers. Leaving many blank raises the mean; it does not lower it, so the coverage figure has to travel with the number.</t>
  </si>
  <si>
    <t xml:space="preserve">Cost of the constraints</t>
  </si>
  <si>
    <t xml:space="preserve">The distance between what you believe and what you can show. A large gap is a evidence problem, not necessarily a capability one.</t>
  </si>
  <si>
    <t xml:space="preserve">Containment lattice</t>
  </si>
  <si>
    <t xml:space="preserve">Cells in scope</t>
  </si>
  <si>
    <t xml:space="preserve">A scope under 24 usually means the lattice has not been thought through; over 38 usually means everything was ticked.</t>
  </si>
  <si>
    <t xml:space="preserve">VRS — Validated Response Score</t>
  </si>
  <si>
    <t xml:space="preserve">The share of your in-scope containment surface that has a real response option, unweighted.</t>
  </si>
  <si>
    <t xml:space="preserve">VRS-cj — crown-jewel weighted</t>
  </si>
  <si>
    <t xml:space="preserve">The same measure weighted by criticality. If this sits below VRS, your coverage is thickest where it matters least.</t>
  </si>
  <si>
    <t xml:space="preserve">Containment margin</t>
  </si>
  <si>
    <t xml:space="preserve">Positive means your best coverage is on your most critical cells. Negative is the pattern worth acting on.</t>
  </si>
  <si>
    <t xml:space="preserve">Cells engineered or better</t>
  </si>
  <si>
    <t xml:space="preserve">A documented, owned, parameterised playbook exists — whether or not it has ever run.</t>
  </si>
  <si>
    <t xml:space="preserve">Cells proven</t>
  </si>
  <si>
    <t xml:space="preserve">Executed against a real incident or a timed exercise. This is the only number that is not a claim.</t>
  </si>
  <si>
    <t xml:space="preserve">Blind cells on crown jewels</t>
  </si>
  <si>
    <t xml:space="preserve">Any figure above zero caps the band at L2 under constraint R6. These are named on the Blueprint sheet.</t>
  </si>
  <si>
    <t xml:space="preserve">Band, and the ceilings on it</t>
  </si>
  <si>
    <t xml:space="preserve">Ceiling</t>
  </si>
  <si>
    <t xml:space="preserve">Why it applies</t>
  </si>
  <si>
    <t xml:space="preserve">Band from the score alone</t>
  </si>
  <si>
    <t xml:space="preserve">Before any integrity ceiling is applied.</t>
  </si>
  <si>
    <t xml:space="preserve">R5 — response tempo</t>
  </si>
  <si>
    <t xml:space="preserve">R6 — blind-cell gate</t>
  </si>
  <si>
    <t xml:space="preserve">R4 — detection source</t>
  </si>
  <si>
    <t xml:space="preserve">R7 — assessment depth</t>
  </si>
  <si>
    <t xml:space="preserve">Final band</t>
  </si>
  <si>
    <t xml:space="preserve">Readiness lenses</t>
  </si>
  <si>
    <t xml:space="preserve">The eight domains describe how the capability is built. Leadership asks a different question. These three lenses re-cut the same 58 sub-capabilities against outcomes. They are lenses, not partitions — a sub-capability can serve more than one. "Claimed" is what your scores say; "proven" applies the rehearsal ceiling. Report both.</t>
  </si>
  <si>
    <t xml:space="preserve">Lens</t>
  </si>
  <si>
    <t xml:space="preserve">Claimed</t>
  </si>
  <si>
    <t xml:space="preserve">Proven</t>
  </si>
  <si>
    <t xml:space="preserve">Capped?</t>
  </si>
  <si>
    <t xml:space="preserve">The question it answers</t>
  </si>
  <si>
    <t xml:space="preserve">Readiness to respond</t>
  </si>
  <si>
    <t xml:space="preserve">If it started now, could we act on it in time?  Authority to act, playbooks that exist and run, containment options with known blast radius, and the automation and investigation depth to use them.</t>
  </si>
  <si>
    <t xml:space="preserve">Readiness to recover</t>
  </si>
  <si>
    <t xml:space="preserve">Could we get the business back, clean, and prove it?  Eradication that actually removes the adversary, restoration with integrity verification, backups that survive a destructive attack, and the legal and communications machinery that runs alongside.</t>
  </si>
  <si>
    <t xml:space="preserve">Operational resilience</t>
  </si>
  <si>
    <t xml:space="preserve">Could we keep running through it, and be harder to hit next time?  Degraded-mode operation, a response function that survives losing its own tooling or people, and a feedback loop that converts every incident into a structural improvement.</t>
  </si>
  <si>
    <t xml:space="preserve">Evidence caps that bound</t>
  </si>
  <si>
    <t xml:space="preserve">How many sub-capability scores constraint R3 pulled down. A high count means the assessment is running ahead of the evidence, not that the capability is absent.</t>
  </si>
  <si>
    <t xml:space="preserve">Reza Adineh, UTIOM · TIR-CMM v1.0 · tir-cmm.com</t>
  </si>
  <si>
    <t xml:space="preserve">6 · Blueprint</t>
  </si>
  <si>
    <t xml:space="preserve">Ranked by impact — the weight the model puts on the gap, not the size of the gap. Sort by the Impact column, work down. The Horizon column tells you which of these fit in a month and which need a budget.</t>
  </si>
  <si>
    <t xml:space="preserve">Rank</t>
  </si>
  <si>
    <t xml:space="preserve">What to fix</t>
  </si>
  <si>
    <t xml:space="preserve">Current</t>
  </si>
  <si>
    <t xml:space="preserve">Gap to 3</t>
  </si>
  <si>
    <t xml:space="preserve">Impact</t>
  </si>
  <si>
    <t xml:space="preserve">Horizon</t>
  </si>
  <si>
    <t xml:space="preserve">Window</t>
  </si>
  <si>
    <t xml:space="preserve">The move</t>
  </si>
  <si>
    <t xml:space="preserve">Owner</t>
  </si>
  <si>
    <t xml:space="preserve">What good looks like afterwards</t>
  </si>
  <si>
    <t xml:space="preserve">Ninety-day moves</t>
  </si>
  <si>
    <t xml:space="preserve">1–3 months</t>
  </si>
  <si>
    <t xml:space="preserve">Rewrite the IR plan around your own crown jewels, identity estate and cloud tenancy; delete every section that could belong to any other organisation.</t>
  </si>
  <si>
    <t xml:space="preserve">IR lead</t>
  </si>
  <si>
    <t xml:space="preserve">A plan that names your systems, your people and your regulators.</t>
  </si>
  <si>
    <t xml:space="preserve">Quick fixes</t>
  </si>
  <si>
    <t xml:space="preserve">0–30 days</t>
  </si>
  <si>
    <t xml:space="preserve">Build a one-page severity matrix whose top tier is defined by crown-jewel involvement, then re-classify your last thirty incidents against it.</t>
  </si>
  <si>
    <t xml:space="preserve">A severity matrix and thirty incidents classified the same way twice.</t>
  </si>
  <si>
    <t xml:space="preserve">Run an unannounced call-out test against the current rota at 02:00 and record who answered, how quickly, and who never did.</t>
  </si>
  <si>
    <t xml:space="preserve">SOC manager</t>
  </si>
  <si>
    <t xml:space="preserve">A dated reachability test record with real answer times and gaps.</t>
  </si>
  <si>
    <t xml:space="preserve">List every tool you would need in the first hour, then have each on-call responder log into all of them today and record the failures.</t>
  </si>
  <si>
    <t xml:space="preserve">A tool inventory with a dated access-test log per responder.</t>
  </si>
  <si>
    <t xml:space="preserve">Stand up a bridge and messaging channel that depend on neither corporate identity nor corporate email, and run the next exercise entirely on them.</t>
  </si>
  <si>
    <t xml:space="preserve">Out-of-band comms proven in an exercise report, not just documented.</t>
  </si>
  <si>
    <t xml:space="preserve">Structural work</t>
  </si>
  <si>
    <t xml:space="preserve">6–12 months</t>
  </si>
  <si>
    <t xml:space="preserve">Put an IR retainer, or a funded in-house equivalent, under contract with a stated activation SLA and complete the onboarding before you need it.</t>
  </si>
  <si>
    <t xml:space="preserve">CISO</t>
  </si>
  <si>
    <t xml:space="preserve">A signed retainer with onboarding done and activation tested.</t>
  </si>
  <si>
    <t xml:space="preserve">Map every reporting obligation to a named clock and owner, identify your breach counsel, and draft holding statements for your top three scenarios.</t>
  </si>
  <si>
    <t xml:space="preserve">Legal &amp; compliance</t>
  </si>
  <si>
    <t xml:space="preserve">An obligation register with clocks, named counsel and pre-drafted statements.</t>
  </si>
  <si>
    <t xml:space="preserve">Draft a containment authorisation matrix covering isolate, disable and revoke per asset class and severity, then get named business owners to sign it.</t>
  </si>
  <si>
    <t xml:space="preserve">Business service owner</t>
  </si>
  <si>
    <t xml:space="preserve">A signed authorisation matrix mapped to lattice cells.</t>
  </si>
  <si>
    <t xml:space="preserve">Measure the gap between alert-validated and containment-authorised timestamps on your last twenty incidents, and report it separately from MTTR.</t>
  </si>
  <si>
    <t xml:space="preserve">A dated MTTDecide series, split from MTTR, per severity.</t>
  </si>
  <si>
    <t xml:space="preserve">Write objective escalation triggers — crown jewel touched, Tier-0 identity involved, encryption observed — so escalation stops depending on which analyst is on shift.</t>
  </si>
  <si>
    <t xml:space="preserve">Escalation triggers anyone on shift can apply without asking.</t>
  </si>
  <si>
    <t xml:space="preserve">Name the person who can authorise containment at 03:00, name two deputies, and publish the maximum time they are permitted to take.</t>
  </si>
  <si>
    <t xml:space="preserve">A named out-of-hours authority, deputies, and a stated answer time.</t>
  </si>
  <si>
    <t xml:space="preserve">Get the owner of each crown-jewel service to accept in writing the downtime cost of each containment tier, before an incident forces the conversation.</t>
  </si>
  <si>
    <t xml:space="preserve">Signed impact-acceptance records for every crown-jewel service.</t>
  </si>
  <si>
    <t xml:space="preserve">Write one page defining what activates crisis management, who chairs it and which decisions the executive owns, and take it to the board for sign-off.</t>
  </si>
  <si>
    <t xml:space="preserve">Executive sponsor</t>
  </si>
  <si>
    <t xml:space="preserve">Board-approved activation criteria and executive decision rights.</t>
  </si>
  <si>
    <t xml:space="preserve">Map every existing playbook onto the stage-by-asset lattice, then write response procedures for the Tier-1 cells that come back empty.</t>
  </si>
  <si>
    <t xml:space="preserve">Head of security engineering</t>
  </si>
  <si>
    <t xml:space="preserve">A playbook-to-cell coverage map with no empty crown-jewel cells.</t>
  </si>
  <si>
    <t xml:space="preserve">Take your three priority actors, model their paths to your crown jewels, and record which playbook covers each stage of each path.</t>
  </si>
  <si>
    <t xml:space="preserve">Threat intelligence lead</t>
  </si>
  <si>
    <t xml:space="preserve">A traceability matrix from actor to path to stage to playbook.</t>
  </si>
  <si>
    <t xml:space="preserve">Move every playbook out of the wiki into version control and require a reviewed pull request for any change to one.</t>
  </si>
  <si>
    <t xml:space="preserve">Playbooks in a repository with review history and change approval.</t>
  </si>
  <si>
    <t xml:space="preserve">Build a staging context where playbooks execute against test assets, and block production release of any playbook until its run passes.</t>
  </si>
  <si>
    <t xml:space="preserve">CI test results attached to every playbook release.</t>
  </si>
  <si>
    <t xml:space="preserve">Extract the response steps repeated across your playbooks into a parameterised action library, then rebuild your three largest playbooks from it.</t>
  </si>
  <si>
    <t xml:space="preserve">Response engineering lead</t>
  </si>
  <si>
    <t xml:space="preserve">A reusable action library with playbooks composed from it.</t>
  </si>
  <si>
    <t xml:space="preserve">Annotate every decision point in your playbooks with the named role that decides and the action that fires automatically if nobody does.</t>
  </si>
  <si>
    <t xml:space="preserve">Playbooks with named deciders and a default action on timeout.</t>
  </si>
  <si>
    <t xml:space="preserve">Give every playbook a named owner and a review date, and retire the ones nobody has opened or executed in a year.</t>
  </si>
  <si>
    <t xml:space="preserve">A lifecycle register with owners, review dates and retirements.</t>
  </si>
  <si>
    <t xml:space="preserve">Tag each action in your response library with its RE&amp;CT RA-code and D3FEND technique, and export the mapping as a coverage view.</t>
  </si>
  <si>
    <t xml:space="preserve">A mapping export showing which response techniques you actually hold.</t>
  </si>
  <si>
    <t xml:space="preserve">Write and exercise playbooks for identity provider compromise, cloud control-plane abuse and malicious OAuth applications, not only endpoint malware.</t>
  </si>
  <si>
    <t xml:space="preserve">Identity, cloud and SaaS playbooks exercised, not only endpoint ones.</t>
  </si>
  <si>
    <t xml:space="preserve">Publish one playbook standard and one shared repository across regions and teams, and require contributions back into it rather than local forks.</t>
  </si>
  <si>
    <t xml:space="preserve">One shared repository with contributions from every region.</t>
  </si>
  <si>
    <t xml:space="preserve">For each asset class, define four graded containment tiers — observe, restrict, isolate, disable — and write the business impact of each beside it.</t>
  </si>
  <si>
    <t xml:space="preserve">A containment tier matrix with impact stated per asset class.</t>
  </si>
  <si>
    <t xml:space="preserve">Document what each containment action actually touches, write the rollback for it, and test that rollback on a non-production asset.</t>
  </si>
  <si>
    <t xml:space="preserve">A tested rollback record for every containment action.</t>
  </si>
  <si>
    <t xml:space="preserve">Build and time a Tier-0 procedure that revokes sessions, resets credentials, invalidates tokens and breaks federation trust for a compromised administrator.</t>
  </si>
  <si>
    <t xml:space="preserve">Identity &amp; access lead</t>
  </si>
  <si>
    <t xml:space="preserve">A timed identity containment procedure with a named owner.</t>
  </si>
  <si>
    <t xml:space="preserve">Push a block for a controlled test domain through proxy, firewall, DNS and mail gateway, and record how long each control takes to propagate.</t>
  </si>
  <si>
    <t xml:space="preserve">Network lead</t>
  </si>
  <si>
    <t xml:space="preserve">Measured propagation times for every egress control you rely on.</t>
  </si>
  <si>
    <t xml:space="preserve">Write an eradication checklist covering persistence, credentials and access paths, and begin recording reinfection within ninety days as a standing metric.</t>
  </si>
  <si>
    <t xml:space="preserve">An eradication checklist plus a tracked reinfection rate.</t>
  </si>
  <si>
    <t xml:space="preserve">Agree RTO and RPO for each crown-jewel service with its owner, then rehearse a restore that verifies integrity before the service returns.</t>
  </si>
  <si>
    <t xml:space="preserve">A recovery exercise report with agreed RTO/RPO and integrity checks.</t>
  </si>
  <si>
    <t xml:space="preserve">Move crown-jewel backups onto immutable or logically isolated storage with credentials separate from production identity, then restore at full scale to prove it.</t>
  </si>
  <si>
    <t xml:space="preserve">Platform/infra lead</t>
  </si>
  <si>
    <t xml:space="preserve">A dated at-scale restore from backups an attacker cannot reach.</t>
  </si>
  <si>
    <t xml:space="preserve">Design and rehearse how each crown-jewel service runs without its IT dependencies, and agree the manual fallback with the people who would run it.</t>
  </si>
  <si>
    <t xml:space="preserve">A continuity exercise record showing the service running degraded.</t>
  </si>
  <si>
    <t xml:space="preserve">Automate asset, identity, intelligence and prior-case enrichment onto every alert before an analyst opens it, and report time-to-context weekly.</t>
  </si>
  <si>
    <t xml:space="preserve">Detection engineering</t>
  </si>
  <si>
    <t xml:space="preserve">Alerts arriving pre-enriched, with a time-to-context metric series.</t>
  </si>
  <si>
    <t xml:space="preserve">Take the three highest-confidence, lowest-risk scenarios you have already pre-authorised and automate containment end to end, tracking execution success rate.</t>
  </si>
  <si>
    <t xml:space="preserve">An automation coverage map with measured success rates.</t>
  </si>
  <si>
    <t xml:space="preserve">Write down which response actions may fire without a human, which may not, and what the automation does when nobody answers in time.</t>
  </si>
  <si>
    <t xml:space="preserve">A gate design document with defined timeout behaviour.</t>
  </si>
  <si>
    <t xml:space="preserve">List every tool that controls an in-scope asset class, then build and health-monitor an orchestration integration for each one that lacks it.</t>
  </si>
  <si>
    <t xml:space="preserve">An integration inventory with monitored coverage of every asset class.</t>
  </si>
  <si>
    <t xml:space="preserve">Add rate and scope caps, error handling and a rollback path to every automated containment action, then test them by deliberately triggering failure.</t>
  </si>
  <si>
    <t xml:space="preserve">Automation that fails safely, with evidence it was tested.</t>
  </si>
  <si>
    <t xml:space="preserve">Make the case system capture detection, decision and containment timestamps as structured fields, and derive MTTD, MTTDecide and MTTC automatically from them.</t>
  </si>
  <si>
    <t xml:space="preserve">Response metrics derived from case data, not assembled by hand.</t>
  </si>
  <si>
    <t xml:space="preserve">Require every automation change to pass review and a test run before deployment, and withdraw direct edit access in the production platform.</t>
  </si>
  <si>
    <t xml:space="preserve">A change trail for every automation running in production.</t>
  </si>
  <si>
    <t xml:space="preserve">Re-open your last five significant incidents and record where the final scope differed from the scope declared in the first four hours.</t>
  </si>
  <si>
    <t xml:space="preserve">A scope-accuracy record showing where triage under- or over-scoped.</t>
  </si>
  <si>
    <t xml:space="preserve">Test volatile and disk acquisition against one live asset in each in-scope class, including a container and a cloud workload, and time each.</t>
  </si>
  <si>
    <t xml:space="preserve">Forensics lead</t>
  </si>
  <si>
    <t xml:space="preserve">Acquisition test records covering ephemeral and cloud assets.</t>
  </si>
  <si>
    <t xml:space="preserve">Write a chain-of-custody procedure covering handling, hashing, storage and transfer, and have counsel confirm it survives disciplinary and insurance use.</t>
  </si>
  <si>
    <t xml:space="preserve">A legally reviewed custody procedure your evidence can pass.</t>
  </si>
  <si>
    <t xml:space="preserve">Produce a source-attributed timeline for every significant incident, and automate collection of the log sources you keep rebuilding by hand.</t>
  </si>
  <si>
    <t xml:space="preserve">Timelines with sources cited, produced faster each incident.</t>
  </si>
  <si>
    <t xml:space="preserve">Compare retention for every crown-jewel-relevant log source against the median dwell time of your priority actors, and fund the shortfall.</t>
  </si>
  <si>
    <t xml:space="preserve">Retention that outlasts dwell time, proven by a historical lookback.</t>
  </si>
  <si>
    <t xml:space="preserve">Secure a named malware and artefact analysis route with a contractual turnaround, and require every report to produce a detection or playbook change.</t>
  </si>
  <si>
    <t xml:space="preserve">Analysis on a clock, feeding detections and playbooks.</t>
  </si>
  <si>
    <t xml:space="preserve">Run a two-hour tabletop on your worst crown-jewel scenario with the actual decision-makers in the room, and log every finding with an owner.</t>
  </si>
  <si>
    <t xml:space="preserve">An exercise report with tracked, owned remediation actions.</t>
  </si>
  <si>
    <t xml:space="preserve">Book a recurring controlled window and execute playbooks technically against emulated adversary activity, recording pass or fail per lattice cell.</t>
  </si>
  <si>
    <t xml:space="preserve">Live-fire results per lattice cell, on a published schedule.</t>
  </si>
  <si>
    <t xml:space="preserve">Extend purple team engagements past detection so the red side keeps operating while you contain and eradicate, and report the end-to-end outcome.</t>
  </si>
  <si>
    <t xml:space="preserve">Purple team lead</t>
  </si>
  <si>
    <t xml:space="preserve">Purple team reports that end at eradication, not at the alert.</t>
  </si>
  <si>
    <t xml:space="preserve">Capture MTTD, MTTDecide and MTTC in every exercise and record them beside the breakout time of the actor being emulated.</t>
  </si>
  <si>
    <t xml:space="preserve">Exercise lead</t>
  </si>
  <si>
    <t xml:space="preserve">A timing dataset comparing your tempo against the adversary.</t>
  </si>
  <si>
    <t xml:space="preserve">Record the date and result of the last validation against every in-scope lattice cell, expire anything older than a year, and publish the debt.</t>
  </si>
  <si>
    <t xml:space="preserve">A validation register with a standing validation-debt figure.</t>
  </si>
  <si>
    <t xml:space="preserve">Run an exercise with the SIEM declared down and the primary incident commander unreachable, and record what the team can still do.</t>
  </si>
  <si>
    <t xml:space="preserve">A degraded-mode exercise record showing what survives tool loss.</t>
  </si>
  <si>
    <t xml:space="preserve">Commission a red team scoped to grade your response — detection, decision and containment — not merely whether they reached the objective.</t>
  </si>
  <si>
    <t xml:space="preserve">An independent report on response effectiveness, with closure evidence.</t>
  </si>
  <si>
    <t xml:space="preserve">Publish written definitions for MTTD, MTTDecide, MTTC, MTTR and containment success, then report them on the same cadence every month.</t>
  </si>
  <si>
    <t xml:space="preserve">A reported metric series with definitions that do not move.</t>
  </si>
  <si>
    <t xml:space="preserve">Hold a blameless review within ten working days of every significant incident, and track each action to closure against a named owner.</t>
  </si>
  <si>
    <t xml:space="preserve">PIR records with a measurable action closure rate.</t>
  </si>
  <si>
    <t xml:space="preserve">Make every post-incident and exercise finding raise a linked detection engineering work item, and report how many were closed each quarter.</t>
  </si>
  <si>
    <t xml:space="preserve">Traceable incident-to-detection change records.</t>
  </si>
  <si>
    <t xml:space="preserve">Route hardening findings from incidents into the architecture backlog with named owners, and review their closure at the same forum each quarter.</t>
  </si>
  <si>
    <t xml:space="preserve">Security architecture lead</t>
  </si>
  <si>
    <t xml:space="preserve">Findings traced through to shipped architecture changes.</t>
  </si>
  <si>
    <t xml:space="preserve">Name an owner for response engineering and fund it as a budget line distinct from SOC staffing, with its own prioritised backlog.</t>
  </si>
  <si>
    <t xml:space="preserve">A funded response engineering function with a named owner.</t>
  </si>
  <si>
    <t xml:space="preserve">Build the regulator and executive reporting packs in advance, attach the notification clock and owner to each, and timestamp every submission.</t>
  </si>
  <si>
    <t xml:space="preserve">Pre-built reporting packs with evidenced, timestamped submissions.</t>
  </si>
  <si>
    <t xml:space="preserve">Diarise a quarterly reassessment against this model, and rebuild the response backlog from its results rather than from the previous backlog.</t>
  </si>
  <si>
    <t xml:space="preserve">A reassessment history showing score and backlog both moving.</t>
  </si>
  <si>
    <t xml:space="preserve">Containment gaps</t>
  </si>
  <si>
    <t xml:space="preserve">Lattice cells ranked the same way. Impact is criticality × stage leverage × the distance to a proven option. Cells marked BLIND are the ones capping your band at L2.</t>
  </si>
  <si>
    <t xml:space="preserve">Cell</t>
  </si>
  <si>
    <t xml:space="preserve">Status</t>
  </si>
  <si>
    <t xml:space="preserve">Blind?</t>
  </si>
  <si>
    <t xml:space="preserve">What it means</t>
  </si>
  <si>
    <t xml:space="preserve">S0×A1</t>
  </si>
  <si>
    <t xml:space="preserve">Identity</t>
  </si>
  <si>
    <t xml:space="preserve">S0×A2</t>
  </si>
  <si>
    <t xml:space="preserve">Endpoint</t>
  </si>
  <si>
    <t xml:space="preserve">S0×A3</t>
  </si>
  <si>
    <t xml:space="preserve">Server</t>
  </si>
  <si>
    <t xml:space="preserve">S0×A4</t>
  </si>
  <si>
    <t xml:space="preserve">Cloud/SaaS</t>
  </si>
  <si>
    <t xml:space="preserve">S0×A5</t>
  </si>
  <si>
    <t xml:space="preserve">Network</t>
  </si>
  <si>
    <t xml:space="preserve">S0×A6</t>
  </si>
  <si>
    <t xml:space="preserve">App/CI-CD</t>
  </si>
  <si>
    <t xml:space="preserve">S0×A7</t>
  </si>
  <si>
    <t xml:space="preserve">Data/Backup</t>
  </si>
  <si>
    <t xml:space="preserve">S0×A8</t>
  </si>
  <si>
    <t xml:space="preserve">OT/ICS</t>
  </si>
  <si>
    <t xml:space="preserve">S1×A1</t>
  </si>
  <si>
    <t xml:space="preserve">S1×A2</t>
  </si>
  <si>
    <t xml:space="preserve">S1×A3</t>
  </si>
  <si>
    <t xml:space="preserve">S1×A4</t>
  </si>
  <si>
    <t xml:space="preserve">S1×A5</t>
  </si>
  <si>
    <t xml:space="preserve">S1×A6</t>
  </si>
  <si>
    <t xml:space="preserve">S1×A7</t>
  </si>
  <si>
    <t xml:space="preserve">S1×A8</t>
  </si>
  <si>
    <t xml:space="preserve">S2×A1</t>
  </si>
  <si>
    <t xml:space="preserve">S2×A2</t>
  </si>
  <si>
    <t xml:space="preserve">S2×A3</t>
  </si>
  <si>
    <t xml:space="preserve">S2×A4</t>
  </si>
  <si>
    <t xml:space="preserve">S2×A5</t>
  </si>
  <si>
    <t xml:space="preserve">S2×A6</t>
  </si>
  <si>
    <t xml:space="preserve">S2×A7</t>
  </si>
  <si>
    <t xml:space="preserve">S2×A8</t>
  </si>
  <si>
    <t xml:space="preserve">S3×A1</t>
  </si>
  <si>
    <t xml:space="preserve">S3×A2</t>
  </si>
  <si>
    <t xml:space="preserve">S3×A3</t>
  </si>
  <si>
    <t xml:space="preserve">S3×A4</t>
  </si>
  <si>
    <t xml:space="preserve">S3×A5</t>
  </si>
  <si>
    <t xml:space="preserve">S3×A6</t>
  </si>
  <si>
    <t xml:space="preserve">S3×A7</t>
  </si>
  <si>
    <t xml:space="preserve">S3×A8</t>
  </si>
  <si>
    <t xml:space="preserve">S4×A1</t>
  </si>
  <si>
    <t xml:space="preserve">S4×A2</t>
  </si>
  <si>
    <t xml:space="preserve">S4×A3</t>
  </si>
  <si>
    <t xml:space="preserve">S4×A4</t>
  </si>
  <si>
    <t xml:space="preserve">S4×A5</t>
  </si>
  <si>
    <t xml:space="preserve">S4×A6</t>
  </si>
  <si>
    <t xml:space="preserve">S4×A7</t>
  </si>
  <si>
    <t xml:space="preserve">S4×A8</t>
  </si>
  <si>
    <t xml:space="preserve">S5×A1</t>
  </si>
  <si>
    <t xml:space="preserve">S5×A2</t>
  </si>
  <si>
    <t xml:space="preserve">S5×A3</t>
  </si>
  <si>
    <t xml:space="preserve">S5×A4</t>
  </si>
  <si>
    <t xml:space="preserve">S5×A5</t>
  </si>
  <si>
    <t xml:space="preserve">S5×A6</t>
  </si>
  <si>
    <t xml:space="preserve">S5×A7</t>
  </si>
  <si>
    <t xml:space="preserve">S5×A8</t>
  </si>
  <si>
    <t xml:space="preserve">S6×A1</t>
  </si>
  <si>
    <t xml:space="preserve">S6×A2</t>
  </si>
  <si>
    <t xml:space="preserve">S6×A3</t>
  </si>
  <si>
    <t xml:space="preserve">S6×A4</t>
  </si>
  <si>
    <t xml:space="preserve">S6×A5</t>
  </si>
  <si>
    <t xml:space="preserve">S6×A6</t>
  </si>
  <si>
    <t xml:space="preserve">S6×A7</t>
  </si>
  <si>
    <t xml:space="preserve">S6×A8</t>
  </si>
  <si>
    <t xml:space="preserve">S7×A1</t>
  </si>
  <si>
    <t xml:space="preserve">S7×A2</t>
  </si>
  <si>
    <t xml:space="preserve">S7×A3</t>
  </si>
  <si>
    <t xml:space="preserve">S7×A4</t>
  </si>
  <si>
    <t xml:space="preserve">S7×A5</t>
  </si>
  <si>
    <t xml:space="preserve">S7×A6</t>
  </si>
  <si>
    <t xml:space="preserve">S7×A7</t>
  </si>
  <si>
    <t xml:space="preserve">S7×A8</t>
  </si>
  <si>
    <t xml:space="preserve">TIR-CMM v0.2 — reference tables</t>
  </si>
  <si>
    <t xml:space="preserve">Lookup tables for the whole workbook. Do not edit: the other sheets read from these ranges by name.</t>
  </si>
  <si>
    <t xml:space="preserve">Maturity bands</t>
  </si>
  <si>
    <t xml:space="preserve">Min</t>
  </si>
  <si>
    <t xml:space="preserve">Max</t>
  </si>
  <si>
    <t xml:space="preserve">Definition</t>
  </si>
  <si>
    <t xml:space="preserve">Evidence classes (constraint R3)</t>
  </si>
  <si>
    <t xml:space="preserve">Level</t>
  </si>
  <si>
    <t xml:space="preserve">Class</t>
  </si>
  <si>
    <t xml:space="preserve">Cap</t>
  </si>
  <si>
    <t xml:space="preserve">VC0 — Assertion only</t>
  </si>
  <si>
    <t xml:space="preserve">Expect: None, or a verbal claim.  The claim may be recorded, but readiness cannot be credited above 1.</t>
  </si>
  <si>
    <t xml:space="preserve">VC1 — Design or policy</t>
  </si>
  <si>
    <t xml:space="preserve">Expect: A document, policy, screenshot, or partial implementation.  Something exists on paper. Operational effectiveness is unproven.</t>
  </si>
  <si>
    <t xml:space="preserve">VC2 — Implemented and tested</t>
  </si>
  <si>
    <t xml:space="preserve">Expect: Implementation evidence plus a test result, ticket, or system record.  May reach Measured once tests and outcomes are current.</t>
  </si>
  <si>
    <t xml:space="preserve">VC3 — Repeatably validated</t>
  </si>
  <si>
    <t xml:space="preserve">Expect: Recent, repeatable, independently reviewable proof from the live environment.  May reach Adaptive where validation is sustained.</t>
  </si>
  <si>
    <t xml:space="preserve">Response Readiness Status (lattice cell values)</t>
  </si>
  <si>
    <t xml:space="preserve">No option</t>
  </si>
  <si>
    <t xml:space="preserve">No means exists to act at this stage on this asset class. You would improvise or watch.</t>
  </si>
  <si>
    <t xml:space="preserve">Manual only</t>
  </si>
  <si>
    <t xml:space="preserve">An action is technically possible but ad-hoc, undocumented, dependent on a specific individual, or gated behind an approval path with no defined SLA.</t>
  </si>
  <si>
    <t xml:space="preserve">Engineered</t>
  </si>
  <si>
    <t xml:space="preserve">A documented, parameterised playbook exists; tooling can execute it; an owner is named; authority is defined in advance. Unproven.</t>
  </si>
  <si>
    <t xml:space="preserve">Executed against a real incident or live-fire exercise within the recency window, met its stage time objective, and the blast radius was as designed.</t>
  </si>
  <si>
    <t xml:space="preserve">Cell criticality tiers (lattice weighting)</t>
  </si>
  <si>
    <t xml:space="preserve">Tier</t>
  </si>
  <si>
    <t xml:space="preserve">Meaning</t>
  </si>
  <si>
    <t xml:space="preserve">T1 — Crown jewel</t>
  </si>
  <si>
    <t xml:space="preserve">The cell is a crown jewel, or directly hosts one.</t>
  </si>
  <si>
    <t xml:space="preserve">T2 — On path</t>
  </si>
  <si>
    <t xml:space="preserve">The cell lies on a modelled attack path to a crown jewel.</t>
  </si>
  <si>
    <t xml:space="preserve">T3 — Peripheral</t>
  </si>
  <si>
    <t xml:space="preserve">In scope, but peripheral to crown-jewel paths.</t>
  </si>
  <si>
    <t xml:space="preserve">Attack-path stages</t>
  </si>
  <si>
    <t xml:space="preserve">Leverage λ</t>
  </si>
  <si>
    <t xml:space="preserve">Can architecture stop it, or materially slow it, before response is needed?</t>
  </si>
  <si>
    <t xml:space="preserve">Can we cut the entry before execution?</t>
  </si>
  <si>
    <t xml:space="preserve">Can we kill it and prevent return?</t>
  </si>
  <si>
    <t xml:space="preserve">Can we revoke and re-trust at speed?</t>
  </si>
  <si>
    <t xml:space="preserve">Can we sever the path mid-flight?</t>
  </si>
  <si>
    <t xml:space="preserve">Can we interrupt before the data moves?</t>
  </si>
  <si>
    <t xml:space="preserve">Can we block the egress and the channel?</t>
  </si>
  <si>
    <t xml:space="preserve">Can we limit, reverse and restore?</t>
  </si>
  <si>
    <t xml:space="preserve">Asset classes</t>
  </si>
  <si>
    <t xml:space="preserve">Short</t>
  </si>
  <si>
    <t xml:space="preserve">Scope</t>
  </si>
  <si>
    <t xml:space="preserve">Tier-0: AD, Entra ID, IdP, PAM, federation</t>
  </si>
  <si>
    <t xml:space="preserve">Laptops, desktops, VDI, mobile</t>
  </si>
  <si>
    <t xml:space="preserve">On-prem and IaaS servers, hypervisors, containers</t>
  </si>
  <si>
    <t xml:space="preserve">Cloud management planes, SaaS tenants, OAuth apps</t>
  </si>
  <si>
    <t xml:space="preserve">VPN, firewall, proxy, DNS, email gateway</t>
  </si>
  <si>
    <t xml:space="preserve">Source repos, build pipelines, artefact stores, signing</t>
  </si>
  <si>
    <t xml:space="preserve">Databases, file estates, object stores, backup systems</t>
  </si>
  <si>
    <t xml:space="preserve">Industrial control, building systems, medical, specialist</t>
  </si>
  <si>
    <t xml:space="preserve">Domains and weights</t>
  </si>
  <si>
    <t xml:space="preserve">Weight %</t>
  </si>
  <si>
    <t xml:space="preserve">RP</t>
  </si>
  <si>
    <t xml:space="preserve">Response Preparation &amp; Readiness</t>
  </si>
  <si>
    <t xml:space="preserve">RA</t>
  </si>
  <si>
    <t xml:space="preserve">Response Authority &amp; Decision Rights</t>
  </si>
  <si>
    <t xml:space="preserve">RE</t>
  </si>
  <si>
    <t xml:space="preserve">Response Engineering &amp; Playbooks</t>
  </si>
  <si>
    <t xml:space="preserve">CE</t>
  </si>
  <si>
    <t xml:space="preserve">Containment, Eradication &amp; Recovery</t>
  </si>
  <si>
    <t xml:space="preserve">AO</t>
  </si>
  <si>
    <t xml:space="preserve">Automation &amp; Orchestration</t>
  </si>
  <si>
    <t xml:space="preserve">FI</t>
  </si>
  <si>
    <t xml:space="preserve">Forensics, Evidence &amp; Investigation</t>
  </si>
  <si>
    <t xml:space="preserve">RV</t>
  </si>
  <si>
    <t xml:space="preserve">Response Validation &amp; Exercising</t>
  </si>
  <si>
    <t xml:space="preserve">RG</t>
  </si>
  <si>
    <t xml:space="preserve">Response Governance, Metrics &amp; Improvement</t>
  </si>
  <si>
    <t xml:space="preserve">Integrity constraints</t>
  </si>
  <si>
    <t xml:space="preserve">Rule — and why it exists</t>
  </si>
  <si>
    <t xml:space="preserve">R1</t>
  </si>
  <si>
    <t xml:space="preserve">Rehearsal ceiling</t>
  </si>
  <si>
    <t xml:space="preserve">domain</t>
  </si>
  <si>
    <t xml:space="preserve">Every domain other than RV ≤ RV + 1.  (An unrehearsed playbook is an assumed capability.)</t>
  </si>
  <si>
    <t xml:space="preserve">R2</t>
  </si>
  <si>
    <t xml:space="preserve">Authority ceiling</t>
  </si>
  <si>
    <t xml:space="preserve">AO and CE ≤ RA + 1.  (Automation you are not permitted to fire is a demonstration, not a capability.)</t>
  </si>
  <si>
    <t xml:space="preserve">R3</t>
  </si>
  <si>
    <t xml:space="preserve">sub</t>
  </si>
  <si>
    <t xml:space="preserve">Every score is capped by its evidence level: VC0 assertion caps at 1, VC1 design at 2, VC2 implemented and tested at 4, VC3 repeatably validated at 5. A blank level is treated as VC0.  (The cap is a ceiling, not a conversion. A high evidence grade permits a high score; it does not create one.)</t>
  </si>
  <si>
    <t xml:space="preserve">R4</t>
  </si>
  <si>
    <t xml:space="preserve">Detection dependency</t>
  </si>
  <si>
    <t xml:space="preserve">RE, CE and FI ≤ TID-CMM overall score + 1.  (You cannot respond to what you never saw.)</t>
  </si>
  <si>
    <t xml:space="preserve">R5</t>
  </si>
  <si>
    <t xml:space="preserve">Tempo ceiling</t>
  </si>
  <si>
    <t xml:space="preserve">band</t>
  </si>
  <si>
    <t xml:space="preserve">Tempo Ratio ≥ 2.0 caps the band at L1; ≥ 1.0 caps at L2; tempo not supplied caps at L3.  (A response capability structurally slower than the adversary is not a level 3 capability, whatever the documentation says.)</t>
  </si>
  <si>
    <t xml:space="preserve">R5b</t>
  </si>
  <si>
    <t xml:space="preserve">Estimated tempo ceiling</t>
  </si>
  <si>
    <t xml:space="preserve">A tempo result computed from an estimated breakout window, or from estimated interval timings, caps the band at L3. "Estimated" means not measured in the assessed environment: a published cross-industry benchmark is a legitimate default and is still an estimate for a specific estate.  (A validated capability claim rests on knowing your own numbers. Borrowing an adversary figure is sound practice for planning and cannot evidence that your response beats the clock you actually face.)</t>
  </si>
  <si>
    <t xml:space="preserve">R6</t>
  </si>
  <si>
    <t xml:space="preserve">Blind-cell gate</t>
  </si>
  <si>
    <t xml:space="preserve">Any Tier-1 lattice cell at status 0 caps the band at L2.  (If there is a stage on a crown jewel where you have no response option at all, you are not threat-informed.)</t>
  </si>
  <si>
    <t xml:space="preserve">R7</t>
  </si>
  <si>
    <t xml:space="preserve">Assessment depth &amp; governance ceiling</t>
  </si>
  <si>
    <t xml:space="preserve">Pulse caps the band at L3. Baseline caps at L4. A self-assessment without evidence-led scoring, independent calibration and separation of assessor from approver caps at L4.  (Twenty questions cannot evidence adaptive maturity, and a result nobody challenged is not assurance.)</t>
  </si>
  <si>
    <t xml:space="preserve">Assessment tiers</t>
  </si>
  <si>
    <t xml:space="preserve">Band ceiling</t>
  </si>
  <si>
    <t xml:space="preserve">pulse</t>
  </si>
  <si>
    <t xml:space="preserve">Pulse</t>
  </si>
  <si>
    <t xml:space="preserve">20 minutes — Twenty questions, no lattice, no ATT&amp;CK, no evidence review. Produces a band, the three things holding you back, and a quick-fix list. Indicative, not defensible — and it says so on the report.</t>
  </si>
  <si>
    <t xml:space="preserve">Baseline</t>
  </si>
  <si>
    <t xml:space="preserve">1–2 hours — All 58 sub-capabilities with evidence levels, the containment lattice scoped to your crown jewels, the authority map, and response tempo. Self-service and defensible enough to take to a leadership team.</t>
  </si>
  <si>
    <t xml:space="preserve">assurance</t>
  </si>
  <si>
    <t xml:space="preserve">Assurance</t>
  </si>
  <si>
    <t xml:space="preserve">none</t>
  </si>
  <si>
    <t xml:space="preserve">2–4 weeks — Everything in Baseline plus telemetry attributes per asset class, exercised scenarios with observed timings, the evidence register, and the governance layer — decision rights, independent calibration and second review. Evidence-led interviews, not self-scoring.</t>
  </si>
  <si>
    <t xml:space="preserve">Blueprint horizons</t>
  </si>
  <si>
    <t xml:space="preserve">Effort</t>
  </si>
  <si>
    <t xml:space="preserve">What it takes</t>
  </si>
  <si>
    <t xml:space="preserve">One person, no budget, no procurement. Mostly writing things down, getting decisions made, and measuring what you already do.</t>
  </si>
  <si>
    <t xml:space="preserve">Needs coordination, a scheduled exercise, or a contained piece of engineering. Achievable inside a quarter with existing people.</t>
  </si>
  <si>
    <t xml:space="preserve">Needs budget, procurement, hiring, architecture change or a standing programme. Plan it now; it will not land this quarter.</t>
  </si>
  <si>
    <t xml:space="preserve">Priority actor presets — breakout time</t>
  </si>
</sst>
</file>

<file path=xl/styles.xml><?xml version="1.0" encoding="utf-8"?>
<styleSheet xmlns="http://schemas.openxmlformats.org/spreadsheetml/2006/main">
  <numFmts count="8">
    <numFmt numFmtId="164" formatCode="General"/>
    <numFmt numFmtId="165" formatCode="yyyy\-mm\-dd"/>
    <numFmt numFmtId="166" formatCode="0"/>
    <numFmt numFmtId="167" formatCode="0.00"/>
    <numFmt numFmtId="168" formatCode="0;\-0"/>
    <numFmt numFmtId="169" formatCode="0.0%"/>
    <numFmt numFmtId="170" formatCode="0.0"/>
    <numFmt numFmtId="171" formatCode="@"/>
  </numFmts>
  <fonts count="20">
    <font>
      <sz val="11"/>
      <color theme="1"/>
      <name val="Calibri"/>
      <family val="2"/>
      <charset val="1"/>
    </font>
    <font>
      <sz val="10"/>
      <name val="Arial"/>
      <family val="0"/>
    </font>
    <font>
      <sz val="10"/>
      <name val="Arial"/>
      <family val="0"/>
    </font>
    <font>
      <sz val="10"/>
      <name val="Arial"/>
      <family val="0"/>
    </font>
    <font>
      <b val="true"/>
      <sz val="18"/>
      <color rgb="FF1A1F1C"/>
      <name val="Arial"/>
      <family val="0"/>
      <charset val="1"/>
    </font>
    <font>
      <sz val="12"/>
      <color rgb="FF55605A"/>
      <name val="Arial"/>
      <family val="0"/>
      <charset val="1"/>
    </font>
    <font>
      <b val="true"/>
      <sz val="12"/>
      <color rgb="FF1A1F1C"/>
      <name val="Arial"/>
      <family val="0"/>
      <charset val="1"/>
    </font>
    <font>
      <sz val="10"/>
      <color rgb="FF1A1F1C"/>
      <name val="Arial"/>
      <family val="0"/>
      <charset val="1"/>
    </font>
    <font>
      <b val="true"/>
      <sz val="10"/>
      <color rgb="FFFFFFFF"/>
      <name val="Arial"/>
      <family val="0"/>
      <charset val="1"/>
    </font>
    <font>
      <b val="true"/>
      <sz val="10"/>
      <color rgb="FF1A1F1C"/>
      <name val="Arial"/>
      <family val="0"/>
      <charset val="1"/>
    </font>
    <font>
      <b val="true"/>
      <sz val="10"/>
      <color rgb="FF0000FF"/>
      <name val="Arial"/>
      <family val="0"/>
      <charset val="1"/>
    </font>
    <font>
      <sz val="10"/>
      <color rgb="FF008000"/>
      <name val="Arial"/>
      <family val="0"/>
      <charset val="1"/>
    </font>
    <font>
      <b val="true"/>
      <sz val="16"/>
      <color rgb="FF1A1F1C"/>
      <name val="Arial"/>
      <family val="0"/>
      <charset val="1"/>
    </font>
    <font>
      <sz val="9"/>
      <color rgb="FF55605A"/>
      <name val="Arial"/>
      <family val="0"/>
      <charset val="1"/>
    </font>
    <font>
      <sz val="10"/>
      <name val="Arial"/>
      <family val="2"/>
    </font>
    <font>
      <sz val="10"/>
      <color rgb="FF1F6B3F"/>
      <name val="Arial"/>
      <family val="0"/>
      <charset val="1"/>
    </font>
    <font>
      <sz val="10"/>
      <color rgb="FFA5581C"/>
      <name val="Arial"/>
      <family val="0"/>
      <charset val="1"/>
    </font>
    <font>
      <sz val="10"/>
      <color rgb="FF1A1F1C"/>
      <name val="Courier New"/>
      <family val="0"/>
      <charset val="1"/>
    </font>
    <font>
      <b val="true"/>
      <sz val="11"/>
      <color rgb="FF1A1F1C"/>
      <name val="Arial"/>
      <family val="0"/>
      <charset val="1"/>
    </font>
    <font>
      <b val="true"/>
      <sz val="9"/>
      <color rgb="FF55605A"/>
      <name val="Arial"/>
      <family val="0"/>
      <charset val="1"/>
    </font>
  </fonts>
  <fills count="7">
    <fill>
      <patternFill patternType="none"/>
    </fill>
    <fill>
      <patternFill patternType="gray125"/>
    </fill>
    <fill>
      <patternFill patternType="solid">
        <fgColor rgb="FF2E6B4F"/>
        <bgColor rgb="FF1F6B3F"/>
      </patternFill>
    </fill>
    <fill>
      <patternFill patternType="solid">
        <fgColor rgb="FFEAF3EC"/>
        <bgColor rgb="FFF4F6F4"/>
      </patternFill>
    </fill>
    <fill>
      <patternFill patternType="solid">
        <fgColor rgb="FFFFFDE6"/>
        <bgColor rgb="FFFFFFFF"/>
      </patternFill>
    </fill>
    <fill>
      <patternFill patternType="solid">
        <fgColor rgb="FFF4F6F4"/>
        <bgColor rgb="FFEAF3EC"/>
      </patternFill>
    </fill>
    <fill>
      <patternFill patternType="solid">
        <fgColor rgb="FFFBE3CE"/>
        <bgColor rgb="FFEAF3EC"/>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4" fontId="7" fillId="6"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5" fontId="10" fillId="4"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true" applyProtection="false">
      <alignment horizontal="general" vertical="top" textRotation="0" wrapText="true" indent="0" shrinkToFit="false"/>
      <protection locked="true" hidden="false"/>
    </xf>
    <xf numFmtId="164" fontId="0" fillId="0" borderId="0" xfId="0" applyFont="false" applyBorder="true" applyAlignment="true" applyProtection="false">
      <alignment horizontal="general" vertical="top" textRotation="0" wrapText="true" indent="0" shrinkToFit="false"/>
      <protection locked="true" hidden="false"/>
    </xf>
    <xf numFmtId="166" fontId="7" fillId="5" borderId="1" xfId="0" applyFont="true" applyBorder="true" applyAlignment="true" applyProtection="false">
      <alignment horizontal="center" vertical="center" textRotation="0" wrapText="false" indent="0" shrinkToFit="false"/>
      <protection locked="true" hidden="false"/>
    </xf>
    <xf numFmtId="167" fontId="7" fillId="5" borderId="1" xfId="0" applyFont="true" applyBorder="true" applyAlignment="true" applyProtection="false">
      <alignment horizontal="center" vertical="center" textRotation="0" wrapText="false" indent="0" shrinkToFit="false"/>
      <protection locked="true" hidden="false"/>
    </xf>
    <xf numFmtId="166" fontId="10" fillId="4" borderId="1" xfId="0" applyFont="true" applyBorder="true" applyAlignment="true" applyProtection="false">
      <alignment horizontal="center" vertical="center" textRotation="0" wrapText="false" indent="0" shrinkToFit="false"/>
      <protection locked="true" hidden="false"/>
    </xf>
    <xf numFmtId="164" fontId="9" fillId="5" borderId="1" xfId="0" applyFont="true" applyBorder="true" applyAlignment="true" applyProtection="false">
      <alignment horizontal="general" vertical="top" textRotation="0" wrapText="true" indent="0" shrinkToFit="false"/>
      <protection locked="true" hidden="false"/>
    </xf>
    <xf numFmtId="168" fontId="7" fillId="5" borderId="1" xfId="0" applyFont="true" applyBorder="true" applyAlignment="true" applyProtection="false">
      <alignment horizontal="center" vertical="center" textRotation="0" wrapText="false" indent="0" shrinkToFit="false"/>
      <protection locked="true" hidden="false"/>
    </xf>
    <xf numFmtId="169" fontId="7" fillId="5" borderId="1" xfId="0" applyFont="true" applyBorder="true" applyAlignment="true" applyProtection="false">
      <alignment horizontal="center" vertical="center" textRotation="0" wrapText="false" indent="0" shrinkToFit="false"/>
      <protection locked="true" hidden="false"/>
    </xf>
    <xf numFmtId="166" fontId="7" fillId="0" borderId="1" xfId="0" applyFont="true" applyBorder="true" applyAlignment="true" applyProtection="false">
      <alignment horizontal="center" vertical="center" textRotation="0" wrapText="false" indent="0" shrinkToFit="false"/>
      <protection locked="true" hidden="false"/>
    </xf>
    <xf numFmtId="164" fontId="15" fillId="0" borderId="1" xfId="0" applyFont="true" applyBorder="true" applyAlignment="true" applyProtection="false">
      <alignment horizontal="center" vertical="center" textRotation="0" wrapText="fals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7" fillId="0" borderId="1" xfId="0" applyFont="true" applyBorder="true" applyAlignment="true" applyProtection="false">
      <alignment horizontal="center" vertical="center" textRotation="0" wrapText="false" indent="0" shrinkToFit="false"/>
      <protection locked="true" hidden="false"/>
    </xf>
    <xf numFmtId="170" fontId="7" fillId="5" borderId="1" xfId="0" applyFont="true" applyBorder="true" applyAlignment="true" applyProtection="false">
      <alignment horizontal="center" vertical="center" textRotation="0" wrapText="false" indent="0" shrinkToFit="false"/>
      <protection locked="true" hidden="false"/>
    </xf>
    <xf numFmtId="166" fontId="13" fillId="0" borderId="1" xfId="0" applyFont="true" applyBorder="true" applyAlignment="true" applyProtection="false">
      <alignment horizontal="center" vertical="center" textRotation="0" wrapText="false" indent="0" shrinkToFit="false"/>
      <protection locked="true" hidden="false"/>
    </xf>
    <xf numFmtId="170" fontId="13" fillId="0" borderId="1" xfId="0" applyFont="true" applyBorder="true" applyAlignment="true" applyProtection="false">
      <alignment horizontal="center" vertical="center" textRotation="0" wrapText="false" indent="0" shrinkToFit="false"/>
      <protection locked="true" hidden="false"/>
    </xf>
    <xf numFmtId="164" fontId="13" fillId="5" borderId="1" xfId="0" applyFont="true" applyBorder="true" applyAlignment="true" applyProtection="false">
      <alignment horizontal="general" vertical="top" textRotation="0" wrapText="true" indent="0" shrinkToFit="false"/>
      <protection locked="true" hidden="false"/>
    </xf>
    <xf numFmtId="164" fontId="18" fillId="3" borderId="1" xfId="0" applyFont="true" applyBorder="true" applyAlignment="true" applyProtection="false">
      <alignment horizontal="general" vertical="top" textRotation="0" wrapText="true" indent="0" shrinkToFit="false"/>
      <protection locked="true" hidden="false"/>
    </xf>
    <xf numFmtId="167" fontId="6" fillId="5" borderId="1" xfId="0" applyFont="true" applyBorder="true" applyAlignment="true" applyProtection="false">
      <alignment horizontal="center" vertical="center" textRotation="0" wrapText="false" indent="0" shrinkToFit="false"/>
      <protection locked="true" hidden="false"/>
    </xf>
    <xf numFmtId="171" fontId="7" fillId="5" borderId="1" xfId="0" applyFont="true" applyBorder="true" applyAlignment="true" applyProtection="false">
      <alignment horizontal="center" vertical="center" textRotation="0" wrapText="false" indent="0" shrinkToFit="false"/>
      <protection locked="true" hidden="false"/>
    </xf>
    <xf numFmtId="166" fontId="6" fillId="5" borderId="1" xfId="0" applyFont="true" applyBorder="true" applyAlignment="true" applyProtection="false">
      <alignment horizontal="center" vertical="center"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70" fontId="11" fillId="5"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1" fillId="5"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ill>
        <patternFill>
          <bgColor rgb="FFFBE3CE"/>
        </patternFill>
      </fill>
    </dxf>
    <dxf>
      <fill>
        <patternFill patternType="solid">
          <fgColor rgb="FF2E6B4F"/>
          <bgColor rgb="FF000000"/>
        </patternFill>
      </fill>
    </dxf>
    <dxf>
      <fill>
        <patternFill patternType="solid">
          <fgColor rgb="FFF4F6F4"/>
          <bgColor rgb="FF000000"/>
        </patternFill>
      </fill>
    </dxf>
    <dxf>
      <fill>
        <patternFill patternType="solid">
          <fgColor rgb="FF1A1F1C"/>
          <bgColor rgb="FF000000"/>
        </patternFill>
      </fill>
    </dxf>
    <dxf>
      <fill>
        <patternFill patternType="solid">
          <fgColor rgb="FFFFFFFF"/>
          <bgColor rgb="FF000000"/>
        </patternFill>
      </fill>
    </dxf>
    <dxf>
      <fill>
        <patternFill patternType="solid">
          <bgColor rgb="FF000000"/>
        </patternFill>
      </fill>
    </dxf>
    <dxf>
      <fill>
        <patternFill patternType="solid">
          <fgColor rgb="FF008000"/>
          <bgColor rgb="FF000000"/>
        </patternFill>
      </fill>
    </dxf>
    <dxf>
      <fill>
        <patternFill patternType="solid">
          <fgColor rgb="FF55605A"/>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F6B3F"/>
      <rgbColor rgb="FFC9D3CC"/>
      <rgbColor rgb="FF808080"/>
      <rgbColor rgb="FF9999FF"/>
      <rgbColor rgb="FF993366"/>
      <rgbColor rgb="FFFFFDE6"/>
      <rgbColor rgb="FFEAF3EC"/>
      <rgbColor rgb="FF660066"/>
      <rgbColor rgb="FFFF8080"/>
      <rgbColor rgb="FF0066CC"/>
      <rgbColor rgb="FFCCCCFF"/>
      <rgbColor rgb="FF000080"/>
      <rgbColor rgb="FFFF00FF"/>
      <rgbColor rgb="FFFFFF00"/>
      <rgbColor rgb="FF00FFFF"/>
      <rgbColor rgb="FF800080"/>
      <rgbColor rgb="FF800000"/>
      <rgbColor rgb="FF2E6B4F"/>
      <rgbColor rgb="FF0000FF"/>
      <rgbColor rgb="FF00CCFF"/>
      <rgbColor rgb="FFF4F6F4"/>
      <rgbColor rgb="FFCCFFCC"/>
      <rgbColor rgb="FFFFFF99"/>
      <rgbColor rgb="FF99CCFF"/>
      <rgbColor rgb="FFFF99CC"/>
      <rgbColor rgb="FFCC99FF"/>
      <rgbColor rgb="FFFBE3CE"/>
      <rgbColor rgb="FF3366FF"/>
      <rgbColor rgb="FF33CCCC"/>
      <rgbColor rgb="FF99CC00"/>
      <rgbColor rgb="FFFFCC00"/>
      <rgbColor rgb="FFFF9900"/>
      <rgbColor rgb="FFFF6600"/>
      <rgbColor rgb="FF55605A"/>
      <rgbColor rgb="FF969696"/>
      <rgbColor rgb="FF003366"/>
      <rgbColor rgb="FF339966"/>
      <rgbColor rgb="FF003300"/>
      <rgbColor rgb="FF333300"/>
      <rgbColor rgb="FFA5581C"/>
      <rgbColor rgb="FF993366"/>
      <rgbColor rgb="FF333399"/>
      <rgbColor rgb="FF1A1F1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4.vml"/>
</Relationships>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5" min="3" style="0" width="22"/>
    <col collapsed="false" customWidth="true" hidden="false" outlineLevel="0" max="6" min="6" style="0" width="40"/>
  </cols>
  <sheetData>
    <row r="1" customFormat="false" ht="15" hidden="false" customHeight="false" outlineLevel="0" collapsed="false">
      <c r="A1" s="1"/>
      <c r="B1" s="1"/>
      <c r="C1" s="1"/>
      <c r="D1" s="1"/>
      <c r="E1" s="1"/>
      <c r="F1" s="1"/>
    </row>
    <row r="2" customFormat="false" ht="25.5" hidden="false" customHeight="true" outlineLevel="0" collapsed="false">
      <c r="A2" s="1"/>
      <c r="B2" s="2" t="s">
        <v>0</v>
      </c>
      <c r="C2" s="2"/>
      <c r="D2" s="2"/>
      <c r="E2" s="2"/>
      <c r="F2" s="2"/>
    </row>
    <row r="3" customFormat="false" ht="15" hidden="false" customHeight="true" outlineLevel="0" collapsed="false">
      <c r="A3" s="1"/>
      <c r="B3" s="3" t="s">
        <v>1</v>
      </c>
      <c r="C3" s="3"/>
      <c r="D3" s="3"/>
      <c r="E3" s="3"/>
      <c r="F3" s="3"/>
    </row>
    <row r="4" customFormat="false" ht="15" hidden="false" customHeight="false" outlineLevel="0" collapsed="false">
      <c r="A4" s="1"/>
      <c r="B4" s="1"/>
      <c r="C4" s="1"/>
      <c r="D4" s="1"/>
      <c r="E4" s="1"/>
      <c r="F4" s="1"/>
    </row>
    <row r="5" customFormat="false" ht="15" hidden="false" customHeight="false" outlineLevel="0" collapsed="false">
      <c r="A5" s="1"/>
      <c r="B5" s="1"/>
      <c r="C5" s="1"/>
      <c r="D5" s="1"/>
      <c r="E5" s="1"/>
      <c r="F5" s="1"/>
    </row>
    <row r="6" customFormat="false" ht="61.5" hidden="false" customHeight="true" outlineLevel="0" collapsed="false">
      <c r="A6" s="1"/>
      <c r="B6" s="4" t="s">
        <v>2</v>
      </c>
      <c r="C6" s="5" t="s">
        <v>3</v>
      </c>
      <c r="D6" s="5"/>
      <c r="E6" s="5"/>
      <c r="F6" s="5"/>
    </row>
    <row r="7" customFormat="false" ht="61.5" hidden="false" customHeight="true" outlineLevel="0" collapsed="false">
      <c r="A7" s="1"/>
      <c r="B7" s="4" t="s">
        <v>4</v>
      </c>
      <c r="C7" s="5" t="s">
        <v>5</v>
      </c>
      <c r="D7" s="5"/>
      <c r="E7" s="5"/>
      <c r="F7" s="5"/>
    </row>
    <row r="8" customFormat="false" ht="61.5" hidden="false" customHeight="true" outlineLevel="0" collapsed="false">
      <c r="A8" s="1"/>
      <c r="B8" s="4" t="s">
        <v>6</v>
      </c>
      <c r="C8" s="5" t="s">
        <v>7</v>
      </c>
      <c r="D8" s="5"/>
      <c r="E8" s="5"/>
      <c r="F8" s="5"/>
    </row>
    <row r="9" customFormat="false" ht="15" hidden="false" customHeight="false" outlineLevel="0" collapsed="false">
      <c r="A9" s="1"/>
      <c r="B9" s="1"/>
      <c r="C9" s="1"/>
      <c r="D9" s="1"/>
      <c r="E9" s="1"/>
      <c r="F9" s="1"/>
    </row>
    <row r="10" customFormat="false" ht="15" hidden="false" customHeight="false" outlineLevel="0" collapsed="false">
      <c r="A10" s="1"/>
      <c r="B10" s="4" t="s">
        <v>8</v>
      </c>
      <c r="C10" s="1"/>
      <c r="D10" s="1"/>
      <c r="E10" s="1"/>
      <c r="F10" s="1"/>
    </row>
    <row r="11" customFormat="false" ht="30" hidden="false" customHeight="true" outlineLevel="0" collapsed="false">
      <c r="A11" s="1"/>
      <c r="B11" s="6" t="s">
        <v>9</v>
      </c>
      <c r="C11" s="6" t="s">
        <v>10</v>
      </c>
      <c r="D11" s="6"/>
      <c r="E11" s="6"/>
      <c r="F11" s="6"/>
    </row>
    <row r="12" customFormat="false" ht="30" hidden="false" customHeight="true" outlineLevel="0" collapsed="false">
      <c r="A12" s="1"/>
      <c r="B12" s="7" t="s">
        <v>11</v>
      </c>
      <c r="C12" s="8" t="s">
        <v>12</v>
      </c>
      <c r="D12" s="8"/>
      <c r="E12" s="8"/>
      <c r="F12" s="8"/>
    </row>
    <row r="13" customFormat="false" ht="30" hidden="false" customHeight="true" outlineLevel="0" collapsed="false">
      <c r="A13" s="1"/>
      <c r="B13" s="7" t="s">
        <v>13</v>
      </c>
      <c r="C13" s="8" t="s">
        <v>14</v>
      </c>
      <c r="D13" s="8"/>
      <c r="E13" s="8"/>
      <c r="F13" s="8"/>
    </row>
    <row r="14" customFormat="false" ht="30" hidden="false" customHeight="true" outlineLevel="0" collapsed="false">
      <c r="A14" s="1"/>
      <c r="B14" s="7" t="s">
        <v>15</v>
      </c>
      <c r="C14" s="8" t="s">
        <v>16</v>
      </c>
      <c r="D14" s="8"/>
      <c r="E14" s="8"/>
      <c r="F14" s="8"/>
    </row>
    <row r="15" customFormat="false" ht="30" hidden="false" customHeight="true" outlineLevel="0" collapsed="false">
      <c r="A15" s="1"/>
      <c r="B15" s="7" t="s">
        <v>17</v>
      </c>
      <c r="C15" s="8" t="s">
        <v>18</v>
      </c>
      <c r="D15" s="8"/>
      <c r="E15" s="8"/>
      <c r="F15" s="8"/>
    </row>
    <row r="16" customFormat="false" ht="30" hidden="false" customHeight="true" outlineLevel="0" collapsed="false">
      <c r="A16" s="1"/>
      <c r="B16" s="7" t="s">
        <v>19</v>
      </c>
      <c r="C16" s="8" t="s">
        <v>20</v>
      </c>
      <c r="D16" s="8"/>
      <c r="E16" s="8"/>
      <c r="F16" s="8"/>
    </row>
    <row r="17" customFormat="false" ht="30" hidden="false" customHeight="true" outlineLevel="0" collapsed="false">
      <c r="A17" s="1"/>
      <c r="B17" s="7" t="s">
        <v>21</v>
      </c>
      <c r="C17" s="8" t="s">
        <v>22</v>
      </c>
      <c r="D17" s="8"/>
      <c r="E17" s="8"/>
      <c r="F17" s="8"/>
    </row>
    <row r="18" customFormat="false" ht="30" hidden="false" customHeight="true" outlineLevel="0" collapsed="false">
      <c r="A18" s="1"/>
      <c r="B18" s="7" t="s">
        <v>23</v>
      </c>
      <c r="C18" s="8" t="s">
        <v>24</v>
      </c>
      <c r="D18" s="8"/>
      <c r="E18" s="8"/>
      <c r="F18" s="8"/>
    </row>
    <row r="19" customFormat="false" ht="15" hidden="false" customHeight="false" outlineLevel="0" collapsed="false">
      <c r="A19" s="1"/>
      <c r="B19" s="1"/>
      <c r="C19" s="1"/>
      <c r="D19" s="1"/>
      <c r="E19" s="1"/>
      <c r="F19" s="1"/>
    </row>
    <row r="20" customFormat="false" ht="15" hidden="false" customHeight="false" outlineLevel="0" collapsed="false">
      <c r="A20" s="1"/>
      <c r="B20" s="4" t="s">
        <v>25</v>
      </c>
      <c r="C20" s="1"/>
      <c r="D20" s="1"/>
      <c r="E20" s="1"/>
      <c r="F20" s="1"/>
    </row>
    <row r="21" customFormat="false" ht="15" hidden="false" customHeight="true" outlineLevel="0" collapsed="false">
      <c r="A21" s="1"/>
      <c r="B21" s="9" t="s">
        <v>26</v>
      </c>
      <c r="C21" s="8" t="s">
        <v>27</v>
      </c>
      <c r="D21" s="8"/>
      <c r="E21" s="8"/>
      <c r="F21" s="8"/>
    </row>
    <row r="22" customFormat="false" ht="15" hidden="false" customHeight="true" outlineLevel="0" collapsed="false">
      <c r="A22" s="1"/>
      <c r="B22" s="10" t="s">
        <v>28</v>
      </c>
      <c r="C22" s="8" t="s">
        <v>29</v>
      </c>
      <c r="D22" s="8"/>
      <c r="E22" s="8"/>
      <c r="F22" s="8"/>
    </row>
    <row r="23" customFormat="false" ht="15" hidden="false" customHeight="true" outlineLevel="0" collapsed="false">
      <c r="A23" s="1"/>
      <c r="B23" s="11" t="s">
        <v>30</v>
      </c>
      <c r="C23" s="8" t="s">
        <v>31</v>
      </c>
      <c r="D23" s="8"/>
      <c r="E23" s="8"/>
      <c r="F23" s="8"/>
    </row>
    <row r="24" customFormat="false" ht="15" hidden="false" customHeight="true" outlineLevel="0" collapsed="false">
      <c r="A24" s="1"/>
      <c r="B24" s="12" t="s">
        <v>32</v>
      </c>
      <c r="C24" s="8" t="s">
        <v>33</v>
      </c>
      <c r="D24" s="8"/>
      <c r="E24" s="8"/>
      <c r="F24" s="8"/>
    </row>
    <row r="25" customFormat="false" ht="15" hidden="false" customHeight="false" outlineLevel="0" collapsed="false">
      <c r="A25" s="1"/>
      <c r="B25" s="1"/>
      <c r="C25" s="1"/>
      <c r="D25" s="1"/>
      <c r="E25" s="1"/>
      <c r="F25" s="1"/>
    </row>
    <row r="26" customFormat="false" ht="15" hidden="false" customHeight="false" outlineLevel="0" collapsed="false">
      <c r="A26" s="1"/>
      <c r="B26" s="1"/>
      <c r="C26" s="1"/>
      <c r="D26" s="1"/>
      <c r="E26" s="1"/>
      <c r="F26" s="1"/>
    </row>
    <row r="27" customFormat="false" ht="15" hidden="false" customHeight="false" outlineLevel="0" collapsed="false">
      <c r="A27" s="1"/>
      <c r="B27" s="4" t="s">
        <v>34</v>
      </c>
      <c r="C27" s="1"/>
      <c r="D27" s="1"/>
      <c r="E27" s="1"/>
      <c r="F27" s="1"/>
    </row>
    <row r="28" customFormat="false" ht="30" hidden="false" customHeight="true" outlineLevel="0" collapsed="false">
      <c r="A28" s="1"/>
      <c r="B28" s="6" t="s">
        <v>35</v>
      </c>
      <c r="C28" s="6" t="s">
        <v>36</v>
      </c>
      <c r="D28" s="6" t="s">
        <v>37</v>
      </c>
      <c r="E28" s="6"/>
      <c r="F28" s="6"/>
    </row>
    <row r="29" customFormat="false" ht="39.75" hidden="false" customHeight="true" outlineLevel="0" collapsed="false">
      <c r="A29" s="1"/>
      <c r="B29" s="7" t="s">
        <v>38</v>
      </c>
      <c r="C29" s="8" t="s">
        <v>39</v>
      </c>
      <c r="D29" s="8" t="s">
        <v>40</v>
      </c>
      <c r="E29" s="8"/>
      <c r="F29" s="8"/>
    </row>
    <row r="30" customFormat="false" ht="39.75" hidden="false" customHeight="true" outlineLevel="0" collapsed="false">
      <c r="A30" s="1"/>
      <c r="B30" s="7" t="s">
        <v>41</v>
      </c>
      <c r="C30" s="8" t="s">
        <v>42</v>
      </c>
      <c r="D30" s="8" t="s">
        <v>43</v>
      </c>
      <c r="E30" s="8"/>
      <c r="F30" s="8"/>
    </row>
    <row r="31" customFormat="false" ht="39.75" hidden="false" customHeight="true" outlineLevel="0" collapsed="false">
      <c r="A31" s="1"/>
      <c r="B31" s="7" t="s">
        <v>44</v>
      </c>
      <c r="C31" s="8" t="s">
        <v>45</v>
      </c>
      <c r="D31" s="8" t="s">
        <v>46</v>
      </c>
      <c r="E31" s="8"/>
      <c r="F31" s="8"/>
    </row>
    <row r="32" customFormat="false" ht="39.75" hidden="false" customHeight="true" outlineLevel="0" collapsed="false">
      <c r="A32" s="1"/>
      <c r="B32" s="7" t="s">
        <v>47</v>
      </c>
      <c r="C32" s="8" t="s">
        <v>48</v>
      </c>
      <c r="D32" s="8" t="s">
        <v>49</v>
      </c>
      <c r="E32" s="8"/>
      <c r="F32" s="8"/>
    </row>
    <row r="33" customFormat="false" ht="39.75" hidden="false" customHeight="true" outlineLevel="0" collapsed="false">
      <c r="A33" s="1"/>
      <c r="B33" s="7" t="s">
        <v>50</v>
      </c>
      <c r="C33" s="8" t="s">
        <v>51</v>
      </c>
      <c r="D33" s="8" t="s">
        <v>52</v>
      </c>
      <c r="E33" s="8"/>
      <c r="F33" s="8"/>
    </row>
    <row r="34" customFormat="false" ht="39.75" hidden="false" customHeight="true" outlineLevel="0" collapsed="false">
      <c r="A34" s="1"/>
      <c r="B34" s="7" t="s">
        <v>53</v>
      </c>
      <c r="C34" s="8" t="s">
        <v>54</v>
      </c>
      <c r="D34" s="8" t="s">
        <v>55</v>
      </c>
      <c r="E34" s="8"/>
      <c r="F34" s="8"/>
    </row>
    <row r="35" customFormat="false" ht="15" hidden="false" customHeight="false" outlineLevel="0" collapsed="false">
      <c r="A35" s="1"/>
      <c r="B35" s="1"/>
      <c r="C35" s="1"/>
      <c r="D35" s="1"/>
      <c r="E35" s="1"/>
      <c r="F35" s="1"/>
    </row>
    <row r="36" customFormat="false" ht="15" hidden="false" customHeight="false" outlineLevel="0" collapsed="false">
      <c r="A36" s="1"/>
      <c r="B36" s="1"/>
      <c r="C36" s="1"/>
      <c r="D36" s="1"/>
      <c r="E36" s="1"/>
      <c r="F36" s="1"/>
    </row>
    <row r="37" customFormat="false" ht="55.5" hidden="false" customHeight="true" outlineLevel="0" collapsed="false">
      <c r="A37" s="1"/>
      <c r="B37" s="4" t="s">
        <v>56</v>
      </c>
      <c r="C37" s="5" t="s">
        <v>57</v>
      </c>
      <c r="D37" s="5"/>
      <c r="E37" s="5"/>
      <c r="F37" s="5"/>
    </row>
    <row r="38" customFormat="false" ht="15" hidden="false" customHeight="false" outlineLevel="0" collapsed="false">
      <c r="A38" s="1"/>
      <c r="B38" s="1"/>
      <c r="C38" s="1"/>
      <c r="D38" s="1"/>
      <c r="E38" s="1"/>
      <c r="F38" s="1"/>
    </row>
    <row r="39" customFormat="false" ht="35.05" hidden="false" customHeight="false" outlineLevel="0" collapsed="false">
      <c r="A39" s="1"/>
      <c r="B39" s="1"/>
      <c r="C39" s="13" t="s">
        <v>58</v>
      </c>
      <c r="D39" s="1"/>
      <c r="E39" s="1"/>
      <c r="F39" s="1"/>
    </row>
  </sheetData>
  <mergeCells count="25">
    <mergeCell ref="B2:F2"/>
    <mergeCell ref="B3:F3"/>
    <mergeCell ref="C6:F6"/>
    <mergeCell ref="C7:F7"/>
    <mergeCell ref="C8:F8"/>
    <mergeCell ref="C11:F11"/>
    <mergeCell ref="C12:F12"/>
    <mergeCell ref="C13:F13"/>
    <mergeCell ref="C14:F14"/>
    <mergeCell ref="C15:F15"/>
    <mergeCell ref="C16:F16"/>
    <mergeCell ref="C17:F17"/>
    <mergeCell ref="C18:F18"/>
    <mergeCell ref="C21:F21"/>
    <mergeCell ref="C22:F22"/>
    <mergeCell ref="C23:F23"/>
    <mergeCell ref="C24:F24"/>
    <mergeCell ref="D28:F28"/>
    <mergeCell ref="D29:F29"/>
    <mergeCell ref="D30:F30"/>
    <mergeCell ref="D31:F31"/>
    <mergeCell ref="D32:F32"/>
    <mergeCell ref="D33:F33"/>
    <mergeCell ref="D34:F34"/>
    <mergeCell ref="C37:F37"/>
  </mergeCells>
  <printOptions headings="false" gridLines="false" gridLinesSet="true" horizontalCentered="false" verticalCentered="false"/>
  <pageMargins left="0.4" right="0.4" top="0.5" bottom="0.5"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20"/>
    <col collapsed="false" customWidth="true" hidden="false" outlineLevel="0" max="4" min="4" style="0" width="8"/>
    <col collapsed="false" customWidth="true" hidden="false" outlineLevel="0" max="5" min="5" style="0" width="10"/>
    <col collapsed="false" customWidth="true" hidden="false" outlineLevel="0" max="6" min="6" style="0" width="78"/>
  </cols>
  <sheetData>
    <row r="1" customFormat="false" ht="15" hidden="false" customHeight="false" outlineLevel="0" collapsed="false">
      <c r="A1" s="1"/>
      <c r="B1" s="1"/>
      <c r="C1" s="1"/>
      <c r="D1" s="1"/>
      <c r="E1" s="1"/>
      <c r="F1" s="1"/>
    </row>
    <row r="2" customFormat="false" ht="19.7" hidden="false" customHeight="false" outlineLevel="0" collapsed="false">
      <c r="A2" s="1"/>
      <c r="B2" s="14" t="s">
        <v>59</v>
      </c>
      <c r="C2" s="1"/>
      <c r="D2" s="1"/>
      <c r="E2" s="1"/>
      <c r="F2" s="1"/>
    </row>
    <row r="3" customFormat="false" ht="32.8" hidden="false" customHeight="false" outlineLevel="0" collapsed="false">
      <c r="A3" s="1"/>
      <c r="B3" s="15" t="s">
        <v>60</v>
      </c>
      <c r="C3" s="1"/>
      <c r="D3" s="1"/>
      <c r="E3" s="1"/>
      <c r="F3" s="1"/>
    </row>
    <row r="4" customFormat="false" ht="15" hidden="false" customHeight="false" outlineLevel="0" collapsed="false">
      <c r="A4" s="1"/>
      <c r="B4" s="7" t="s">
        <v>61</v>
      </c>
      <c r="C4" s="9"/>
      <c r="D4" s="9"/>
      <c r="E4" s="9"/>
      <c r="F4" s="1"/>
    </row>
    <row r="5" customFormat="false" ht="15" hidden="false" customHeight="false" outlineLevel="0" collapsed="false">
      <c r="A5" s="1"/>
      <c r="B5" s="7" t="s">
        <v>62</v>
      </c>
      <c r="C5" s="9"/>
      <c r="D5" s="9"/>
      <c r="E5" s="9"/>
      <c r="F5" s="1"/>
    </row>
    <row r="6" customFormat="false" ht="15" hidden="false" customHeight="false" outlineLevel="0" collapsed="false">
      <c r="A6" s="1"/>
      <c r="B6" s="7" t="s">
        <v>63</v>
      </c>
      <c r="C6" s="9"/>
      <c r="D6" s="9"/>
      <c r="E6" s="9"/>
      <c r="F6" s="1"/>
    </row>
    <row r="7" customFormat="false" ht="22.35" hidden="false" customHeight="false" outlineLevel="0" collapsed="false">
      <c r="A7" s="1"/>
      <c r="B7" s="7" t="s">
        <v>64</v>
      </c>
      <c r="C7" s="16"/>
      <c r="D7" s="16"/>
      <c r="E7" s="16"/>
      <c r="F7" s="17" t="s">
        <v>65</v>
      </c>
    </row>
    <row r="8" customFormat="false" ht="15" hidden="false" customHeight="false" outlineLevel="0" collapsed="false">
      <c r="A8" s="1"/>
      <c r="B8" s="7" t="s">
        <v>66</v>
      </c>
      <c r="C8" s="9"/>
      <c r="D8" s="9"/>
      <c r="E8" s="9"/>
      <c r="F8" s="1"/>
    </row>
    <row r="9" customFormat="false" ht="15" hidden="false" customHeight="false" outlineLevel="0" collapsed="false">
      <c r="A9" s="1"/>
      <c r="B9" s="1"/>
      <c r="C9" s="1"/>
      <c r="D9" s="1"/>
      <c r="E9" s="1"/>
      <c r="F9" s="1"/>
    </row>
    <row r="10" customFormat="false" ht="15" hidden="false" customHeight="false" outlineLevel="0" collapsed="false">
      <c r="A10" s="1"/>
      <c r="B10" s="4" t="s">
        <v>67</v>
      </c>
      <c r="C10" s="1"/>
      <c r="D10" s="1"/>
      <c r="E10" s="1"/>
      <c r="F10" s="1"/>
    </row>
    <row r="11" customFormat="false" ht="15" hidden="false" customHeight="false" outlineLevel="0" collapsed="false">
      <c r="A11" s="1"/>
      <c r="B11" s="7" t="s">
        <v>68</v>
      </c>
      <c r="C11" s="9" t="s">
        <v>69</v>
      </c>
      <c r="D11" s="15" t="s">
        <v>70</v>
      </c>
      <c r="E11" s="18" t="str">
        <f aca="false">IFERROR(INDEX(Reference!$C$79:$C$81,MATCH(LOWER($C$11),Reference!$A$79:$A$81,0)),"?")</f>
        <v>L4</v>
      </c>
      <c r="F11" s="1"/>
    </row>
    <row r="12" customFormat="false" ht="15" hidden="false" customHeight="false" outlineLevel="0" collapsed="false">
      <c r="A12" s="1"/>
      <c r="B12" s="1"/>
      <c r="C12" s="1"/>
      <c r="D12" s="1"/>
      <c r="E12" s="1"/>
      <c r="F12" s="1"/>
    </row>
    <row r="13" customFormat="false" ht="15" hidden="false" customHeight="false" outlineLevel="0" collapsed="false">
      <c r="A13" s="1"/>
      <c r="B13" s="4" t="s">
        <v>71</v>
      </c>
      <c r="C13" s="1"/>
      <c r="D13" s="1"/>
      <c r="E13" s="1"/>
      <c r="F13" s="1"/>
    </row>
    <row r="14" customFormat="false" ht="45.75" hidden="false" customHeight="true" outlineLevel="0" collapsed="false">
      <c r="A14" s="1"/>
      <c r="B14" s="19" t="s">
        <v>72</v>
      </c>
      <c r="C14" s="19"/>
      <c r="D14" s="19"/>
      <c r="E14" s="19"/>
      <c r="F14" s="19"/>
    </row>
    <row r="15" customFormat="false" ht="15" hidden="false" customHeight="false" outlineLevel="0" collapsed="false">
      <c r="A15" s="1"/>
      <c r="B15" s="1"/>
      <c r="C15" s="1"/>
      <c r="D15" s="1"/>
      <c r="E15" s="1"/>
      <c r="F15" s="1"/>
    </row>
    <row r="16" customFormat="false" ht="23.85" hidden="false" customHeight="false" outlineLevel="0" collapsed="false">
      <c r="A16" s="1"/>
      <c r="B16" s="7" t="s">
        <v>73</v>
      </c>
      <c r="C16" s="20"/>
      <c r="D16" s="1"/>
      <c r="E16" s="1"/>
      <c r="F16" s="1"/>
    </row>
    <row r="17" customFormat="false" ht="15" hidden="false" customHeight="false" outlineLevel="0" collapsed="false">
      <c r="A17" s="1"/>
      <c r="B17" s="1"/>
      <c r="C17" s="1"/>
      <c r="D17" s="1"/>
      <c r="E17" s="1"/>
      <c r="F17" s="1"/>
    </row>
    <row r="18" customFormat="false" ht="30" hidden="false" customHeight="true" outlineLevel="0" collapsed="false">
      <c r="A18" s="1"/>
      <c r="B18" s="6" t="s">
        <v>74</v>
      </c>
      <c r="C18" s="6" t="s">
        <v>75</v>
      </c>
      <c r="D18" s="6"/>
      <c r="E18" s="6"/>
      <c r="F18" s="6" t="s">
        <v>76</v>
      </c>
    </row>
    <row r="19" customFormat="false" ht="15" hidden="false" customHeight="false" outlineLevel="0" collapsed="false">
      <c r="A19" s="1"/>
      <c r="B19" s="21" t="s">
        <v>71</v>
      </c>
      <c r="C19" s="22"/>
      <c r="D19" s="22"/>
      <c r="E19" s="22"/>
      <c r="F19" s="22"/>
    </row>
    <row r="20" customFormat="false" ht="43.5" hidden="false" customHeight="true" outlineLevel="0" collapsed="false">
      <c r="A20" s="1"/>
      <c r="B20" s="8" t="s">
        <v>77</v>
      </c>
      <c r="C20" s="20"/>
      <c r="D20" s="23"/>
      <c r="E20" s="23"/>
      <c r="F20" s="17" t="s">
        <v>78</v>
      </c>
    </row>
    <row r="21" customFormat="false" ht="43.5" hidden="false" customHeight="true" outlineLevel="0" collapsed="false">
      <c r="A21" s="1"/>
      <c r="B21" s="8" t="s">
        <v>79</v>
      </c>
      <c r="C21" s="20"/>
      <c r="D21" s="23"/>
      <c r="E21" s="23"/>
      <c r="F21" s="17" t="s">
        <v>80</v>
      </c>
    </row>
    <row r="22" customFormat="false" ht="43.5" hidden="false" customHeight="true" outlineLevel="0" collapsed="false">
      <c r="A22" s="1"/>
      <c r="B22" s="8" t="s">
        <v>81</v>
      </c>
      <c r="C22" s="20"/>
      <c r="D22" s="23"/>
      <c r="E22" s="23"/>
      <c r="F22" s="17" t="s">
        <v>82</v>
      </c>
    </row>
    <row r="23" customFormat="false" ht="43.5" hidden="false" customHeight="true" outlineLevel="0" collapsed="false">
      <c r="A23" s="1"/>
      <c r="B23" s="8" t="s">
        <v>83</v>
      </c>
      <c r="C23" s="20"/>
      <c r="D23" s="23"/>
      <c r="E23" s="23"/>
      <c r="F23" s="17" t="s">
        <v>84</v>
      </c>
    </row>
    <row r="24" customFormat="false" ht="43.5" hidden="false" customHeight="true" outlineLevel="0" collapsed="false">
      <c r="A24" s="1"/>
      <c r="B24" s="8" t="s">
        <v>85</v>
      </c>
      <c r="C24" s="20"/>
      <c r="D24" s="23"/>
      <c r="E24" s="23"/>
      <c r="F24" s="17" t="s">
        <v>86</v>
      </c>
    </row>
    <row r="25" customFormat="false" ht="15" hidden="false" customHeight="false" outlineLevel="0" collapsed="false">
      <c r="A25" s="1"/>
      <c r="B25" s="21" t="s">
        <v>87</v>
      </c>
      <c r="C25" s="22"/>
      <c r="D25" s="22"/>
      <c r="E25" s="22"/>
      <c r="F25" s="22"/>
    </row>
    <row r="26" customFormat="false" ht="43.5" hidden="false" customHeight="true" outlineLevel="0" collapsed="false">
      <c r="A26" s="1"/>
      <c r="B26" s="8" t="s">
        <v>88</v>
      </c>
      <c r="C26" s="20"/>
      <c r="D26" s="23"/>
      <c r="E26" s="23"/>
      <c r="F26" s="17" t="s">
        <v>89</v>
      </c>
    </row>
    <row r="27" customFormat="false" ht="43.5" hidden="false" customHeight="true" outlineLevel="0" collapsed="false">
      <c r="A27" s="1"/>
      <c r="B27" s="8" t="s">
        <v>90</v>
      </c>
      <c r="C27" s="20"/>
      <c r="D27" s="23"/>
      <c r="E27" s="23"/>
      <c r="F27" s="17" t="s">
        <v>91</v>
      </c>
    </row>
    <row r="28" customFormat="false" ht="43.5" hidden="false" customHeight="true" outlineLevel="0" collapsed="false">
      <c r="A28" s="1"/>
      <c r="B28" s="8" t="s">
        <v>92</v>
      </c>
      <c r="C28" s="20"/>
      <c r="D28" s="23"/>
      <c r="E28" s="23"/>
      <c r="F28" s="17" t="s">
        <v>93</v>
      </c>
    </row>
    <row r="29" customFormat="false" ht="15" hidden="false" customHeight="false" outlineLevel="0" collapsed="false">
      <c r="A29" s="1"/>
      <c r="B29" s="1"/>
      <c r="C29" s="1"/>
      <c r="D29" s="1"/>
      <c r="E29" s="1"/>
      <c r="F29" s="1"/>
    </row>
    <row r="30" customFormat="false" ht="15" hidden="false" customHeight="false" outlineLevel="0" collapsed="false">
      <c r="A30" s="1"/>
      <c r="B30" s="4" t="s">
        <v>94</v>
      </c>
      <c r="C30" s="1"/>
      <c r="D30" s="1"/>
      <c r="E30" s="1"/>
      <c r="F30" s="1"/>
    </row>
    <row r="31" customFormat="false" ht="15" hidden="false" customHeight="false" outlineLevel="0" collapsed="false">
      <c r="A31" s="1"/>
      <c r="B31" s="7" t="s">
        <v>95</v>
      </c>
      <c r="C31" s="24" t="n">
        <f aca="false">COUNT('1 Context'!$C$20:$C$28)</f>
        <v>0</v>
      </c>
      <c r="D31" s="1"/>
      <c r="E31" s="1"/>
      <c r="F31" s="17" t="s">
        <v>96</v>
      </c>
    </row>
    <row r="32" customFormat="false" ht="15" hidden="false" customHeight="false" outlineLevel="0" collapsed="false">
      <c r="A32" s="1"/>
      <c r="B32" s="7" t="s">
        <v>97</v>
      </c>
      <c r="C32" s="25" t="str">
        <f aca="false">IF(COUNT('1 Context'!$C$20:$C$24)=0,"",AVERAGE('1 Context'!$C$20:$C$24))</f>
        <v/>
      </c>
      <c r="D32" s="1"/>
      <c r="E32" s="1"/>
      <c r="F32" s="17" t="s">
        <v>98</v>
      </c>
    </row>
    <row r="33" customFormat="false" ht="15" hidden="false" customHeight="false" outlineLevel="0" collapsed="false">
      <c r="A33" s="1"/>
      <c r="B33" s="7" t="s">
        <v>99</v>
      </c>
      <c r="C33" s="25" t="str">
        <f aca="false">IF(COUNT('1 Context'!$C$26:$C$28)=0,"",AVERAGE('1 Context'!$C$26:$C$28))</f>
        <v/>
      </c>
      <c r="D33" s="1"/>
      <c r="E33" s="1"/>
      <c r="F33" s="17" t="s">
        <v>100</v>
      </c>
    </row>
    <row r="34" customFormat="false" ht="15" hidden="false" customHeight="false" outlineLevel="0" collapsed="false">
      <c r="A34" s="1"/>
      <c r="B34" s="7" t="s">
        <v>101</v>
      </c>
      <c r="C34" s="25" t="str">
        <f aca="false">IF('1 Context'!$C$16&lt;&gt;"","TID-CMM import",IF(COUNT('1 Context'!$C$20:$C$28)&gt;=6,"Prerequisite check","None"))</f>
        <v>None</v>
      </c>
      <c r="D34" s="1"/>
      <c r="E34" s="1"/>
      <c r="F34" s="17" t="s">
        <v>102</v>
      </c>
    </row>
    <row r="35" customFormat="false" ht="15" hidden="false" customHeight="false" outlineLevel="0" collapsed="false">
      <c r="A35" s="1"/>
      <c r="B35" s="7" t="s">
        <v>103</v>
      </c>
      <c r="C35" s="25" t="str">
        <f aca="false">IF('1 Context'!$C$16&lt;&gt;"",'1 Context'!$C$16,IF(AND(COUNT('1 Context'!$C$20:$C$28)&gt;=6,COUNT('1 Context'!$C$20:$C$24)&gt;0),AVERAGE('1 Context'!$C$20:$C$24),""))</f>
        <v/>
      </c>
      <c r="D35" s="1"/>
      <c r="E35" s="1"/>
      <c r="F35" s="17" t="s">
        <v>104</v>
      </c>
    </row>
    <row r="36" customFormat="false" ht="15" hidden="false" customHeight="false" outlineLevel="0" collapsed="false">
      <c r="A36" s="1"/>
      <c r="B36" s="7" t="s">
        <v>105</v>
      </c>
      <c r="C36" s="18" t="str">
        <f aca="false">IF('1 Context'!$C$16&lt;&gt;"","none",IF(COUNT('1 Context'!$C$20:$C$28)&gt;=6,"L4","L3"))</f>
        <v>L3</v>
      </c>
      <c r="D36" s="1"/>
      <c r="E36" s="1"/>
      <c r="F36" s="17" t="s">
        <v>106</v>
      </c>
    </row>
  </sheetData>
  <mergeCells count="14">
    <mergeCell ref="C4:E4"/>
    <mergeCell ref="C5:E5"/>
    <mergeCell ref="C6:E6"/>
    <mergeCell ref="C7:E7"/>
    <mergeCell ref="C8:E8"/>
    <mergeCell ref="B14:F14"/>
    <mergeCell ref="D20:E20"/>
    <mergeCell ref="D21:E21"/>
    <mergeCell ref="D22:E22"/>
    <mergeCell ref="D23:E23"/>
    <mergeCell ref="D24:E24"/>
    <mergeCell ref="D26:E26"/>
    <mergeCell ref="D27:E27"/>
    <mergeCell ref="D28:E28"/>
  </mergeCells>
  <dataValidations count="2">
    <dataValidation allowBlank="true" errorStyle="stop" operator="between" showDropDown="false" showErrorMessage="false" showInputMessage="false" sqref="C11" type="list">
      <formula1>"pulse,baseline,assurance"</formula1>
      <formula2>0</formula2>
    </dataValidation>
    <dataValidation allowBlank="true" error="Score 0 to 5, or leave blank if not assessed." errorStyle="stop" errorTitle="Out of range" operator="between" showDropDown="false" showErrorMessage="true" showInputMessage="false" sqref="C20:C28" type="whole">
      <formula1>0</formula1>
      <formula2>5</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0"/>
    <col collapsed="false" customWidth="true" hidden="false" outlineLevel="0" max="3" min="3" style="0" width="18"/>
    <col collapsed="false" customWidth="true" hidden="false" outlineLevel="0" max="4" min="4" style="0" width="12"/>
    <col collapsed="false" customWidth="true" hidden="false" outlineLevel="0" max="5" min="5" style="0" width="10"/>
    <col collapsed="false" customWidth="true" hidden="false" outlineLevel="0" max="6" min="6" style="0" width="74"/>
  </cols>
  <sheetData>
    <row r="1" customFormat="false" ht="15" hidden="false" customHeight="false" outlineLevel="0" collapsed="false">
      <c r="A1" s="1"/>
      <c r="B1" s="1"/>
      <c r="C1" s="1"/>
      <c r="D1" s="1"/>
      <c r="E1" s="1"/>
      <c r="F1" s="1"/>
    </row>
    <row r="2" customFormat="false" ht="35.8" hidden="false" customHeight="false" outlineLevel="0" collapsed="false">
      <c r="A2" s="1"/>
      <c r="B2" s="14" t="s">
        <v>107</v>
      </c>
      <c r="C2" s="1"/>
      <c r="D2" s="1"/>
      <c r="E2" s="1"/>
      <c r="F2" s="1"/>
    </row>
    <row r="3" customFormat="false" ht="32.8" hidden="false" customHeight="false" outlineLevel="0" collapsed="false">
      <c r="A3" s="1"/>
      <c r="B3" s="15" t="s">
        <v>108</v>
      </c>
      <c r="C3" s="1"/>
      <c r="D3" s="1"/>
      <c r="E3" s="1"/>
      <c r="F3" s="1"/>
    </row>
    <row r="4" customFormat="false" ht="15" hidden="false" customHeight="false" outlineLevel="0" collapsed="false">
      <c r="A4" s="1"/>
      <c r="B4" s="1"/>
      <c r="C4" s="1"/>
      <c r="D4" s="1"/>
      <c r="E4" s="1"/>
      <c r="F4" s="1"/>
    </row>
    <row r="5" customFormat="false" ht="15" hidden="false" customHeight="true" outlineLevel="0" collapsed="false">
      <c r="A5" s="1"/>
      <c r="B5" s="7" t="s">
        <v>109</v>
      </c>
      <c r="C5" s="9" t="s">
        <v>110</v>
      </c>
      <c r="D5" s="9"/>
      <c r="E5" s="9"/>
      <c r="F5" s="17" t="s">
        <v>111</v>
      </c>
    </row>
    <row r="6" customFormat="false" ht="22.35" hidden="false" customHeight="false" outlineLevel="0" collapsed="false">
      <c r="A6" s="1"/>
      <c r="B6" s="7" t="s">
        <v>112</v>
      </c>
      <c r="C6" s="24" t="n">
        <f aca="false">IFERROR(INDEX(Reference!$C$91:$C$97,MATCH('2 Actors &amp; tempo'!$C$5,Reference!$B$91:$B$97,0)),"")</f>
        <v>29</v>
      </c>
      <c r="D6" s="17" t="s">
        <v>113</v>
      </c>
      <c r="E6" s="1"/>
      <c r="F6" s="17" t="s">
        <v>114</v>
      </c>
    </row>
    <row r="7" customFormat="false" ht="22.35" hidden="false" customHeight="false" outlineLevel="0" collapsed="false">
      <c r="A7" s="1"/>
      <c r="B7" s="7" t="s">
        <v>115</v>
      </c>
      <c r="C7" s="18" t="str">
        <f aca="false">IFERROR(INDEX(Reference!$D$91:$D$97,MATCH('2 Actors &amp; tempo'!$C$5,Reference!$B$91:$B$97,0)),"Your own figure")</f>
        <v>Published</v>
      </c>
      <c r="D7" s="1"/>
      <c r="E7" s="1"/>
      <c r="F7" s="17" t="s">
        <v>116</v>
      </c>
    </row>
    <row r="8" customFormat="false" ht="15" hidden="false" customHeight="false" outlineLevel="0" collapsed="false">
      <c r="A8" s="1"/>
      <c r="B8" s="1"/>
      <c r="C8" s="1"/>
      <c r="D8" s="1"/>
      <c r="E8" s="1"/>
      <c r="F8" s="1"/>
    </row>
    <row r="9" customFormat="false" ht="15" hidden="false" customHeight="false" outlineLevel="0" collapsed="false">
      <c r="A9" s="1"/>
      <c r="B9" s="4" t="s">
        <v>117</v>
      </c>
      <c r="C9" s="1"/>
      <c r="D9" s="1"/>
      <c r="E9" s="1"/>
      <c r="F9" s="1"/>
    </row>
    <row r="10" customFormat="false" ht="31.5" hidden="false" customHeight="true" outlineLevel="0" collapsed="false">
      <c r="A10" s="1"/>
      <c r="B10" s="19" t="s">
        <v>118</v>
      </c>
      <c r="C10" s="19"/>
      <c r="D10" s="19"/>
      <c r="E10" s="19"/>
      <c r="F10" s="19"/>
    </row>
    <row r="11" customFormat="false" ht="15" hidden="false" customHeight="false" outlineLevel="0" collapsed="false">
      <c r="A11" s="1"/>
      <c r="B11" s="1"/>
      <c r="C11" s="1"/>
      <c r="D11" s="1"/>
      <c r="E11" s="1"/>
      <c r="F11" s="1"/>
    </row>
    <row r="12" customFormat="false" ht="30" hidden="false" customHeight="true" outlineLevel="0" collapsed="false">
      <c r="A12" s="1"/>
      <c r="B12" s="6" t="s">
        <v>119</v>
      </c>
      <c r="C12" s="6" t="s">
        <v>120</v>
      </c>
      <c r="D12" s="6"/>
      <c r="E12" s="6"/>
      <c r="F12" s="6" t="s">
        <v>121</v>
      </c>
    </row>
    <row r="13" customFormat="false" ht="15" hidden="false" customHeight="false" outlineLevel="0" collapsed="false">
      <c r="A13" s="1"/>
      <c r="B13" s="7" t="s">
        <v>122</v>
      </c>
      <c r="C13" s="26"/>
      <c r="D13" s="1"/>
      <c r="E13" s="1"/>
      <c r="F13" s="17" t="s">
        <v>123</v>
      </c>
    </row>
    <row r="14" customFormat="false" ht="15" hidden="false" customHeight="false" outlineLevel="0" collapsed="false">
      <c r="A14" s="1"/>
      <c r="B14" s="7" t="s">
        <v>124</v>
      </c>
      <c r="C14" s="26"/>
      <c r="D14" s="1"/>
      <c r="E14" s="1"/>
      <c r="F14" s="17" t="s">
        <v>125</v>
      </c>
    </row>
    <row r="15" customFormat="false" ht="15" hidden="false" customHeight="false" outlineLevel="0" collapsed="false">
      <c r="A15" s="1"/>
      <c r="B15" s="7" t="s">
        <v>126</v>
      </c>
      <c r="C15" s="26"/>
      <c r="D15" s="1"/>
      <c r="E15" s="1"/>
      <c r="F15" s="17" t="s">
        <v>127</v>
      </c>
    </row>
    <row r="16" customFormat="false" ht="15" hidden="false" customHeight="false" outlineLevel="0" collapsed="false">
      <c r="A16" s="1"/>
      <c r="B16" s="27" t="s">
        <v>128</v>
      </c>
      <c r="C16" s="24" t="str">
        <f aca="false">IF(COUNT('2 Actors &amp; tempo'!$C$13,'2 Actors &amp; tempo'!$C$14,'2 Actors &amp; tempo'!$C$15)&lt;3,"",'2 Actors &amp; tempo'!$C$13+'2 Actors &amp; tempo'!$C$14+'2 Actors &amp; tempo'!$C$15)</f>
        <v/>
      </c>
      <c r="D16" s="1"/>
      <c r="E16" s="1"/>
      <c r="F16" s="17" t="s">
        <v>129</v>
      </c>
    </row>
    <row r="17" customFormat="false" ht="15" hidden="false" customHeight="false" outlineLevel="0" collapsed="false">
      <c r="A17" s="1"/>
      <c r="B17" s="27" t="s">
        <v>130</v>
      </c>
      <c r="C17" s="28" t="str">
        <f aca="false">IF(OR('2 Actors &amp; tempo'!$C$16="",'2 Actors &amp; tempo'!$C$6=""),"",'2 Actors &amp; tempo'!$C$6-'2 Actors &amp; tempo'!$C$16)</f>
        <v/>
      </c>
      <c r="D17" s="1"/>
      <c r="E17" s="1"/>
      <c r="F17" s="17" t="s">
        <v>131</v>
      </c>
    </row>
    <row r="18" customFormat="false" ht="22.35" hidden="false" customHeight="false" outlineLevel="0" collapsed="false">
      <c r="A18" s="1"/>
      <c r="B18" s="27" t="s">
        <v>132</v>
      </c>
      <c r="C18" s="25" t="str">
        <f aca="false">IF(OR('2 Actors &amp; tempo'!$C$16="",'2 Actors &amp; tempo'!$C$6="",'2 Actors &amp; tempo'!$C$6=0),"",'2 Actors &amp; tempo'!$C$16/'2 Actors &amp; tempo'!$C$6)</f>
        <v/>
      </c>
      <c r="D18" s="1"/>
      <c r="E18" s="1"/>
      <c r="F18" s="17" t="s">
        <v>133</v>
      </c>
    </row>
    <row r="19" customFormat="false" ht="22.35" hidden="false" customHeight="false" outlineLevel="0" collapsed="false">
      <c r="A19" s="1"/>
      <c r="B19" s="27" t="s">
        <v>134</v>
      </c>
      <c r="C19" s="29" t="str">
        <f aca="false">IF(OR('2 Actors &amp; tempo'!$C$16="",'2 Actors &amp; tempo'!$C$16=0),"",'2 Actors &amp; tempo'!$C$14/'2 Actors &amp; tempo'!$C$16)</f>
        <v/>
      </c>
      <c r="D19" s="1"/>
      <c r="E19" s="1"/>
      <c r="F19" s="17" t="s">
        <v>135</v>
      </c>
    </row>
    <row r="20" customFormat="false" ht="15" hidden="false" customHeight="false" outlineLevel="0" collapsed="false">
      <c r="A20" s="1"/>
      <c r="B20" s="1"/>
      <c r="C20" s="1"/>
      <c r="D20" s="1"/>
      <c r="E20" s="1"/>
      <c r="F20" s="1"/>
    </row>
    <row r="21" customFormat="false" ht="15" hidden="false" customHeight="false" outlineLevel="0" collapsed="false">
      <c r="A21" s="1"/>
      <c r="B21" s="4" t="s">
        <v>136</v>
      </c>
      <c r="C21" s="1"/>
      <c r="D21" s="1"/>
      <c r="E21" s="1"/>
      <c r="F21" s="1"/>
    </row>
    <row r="22" customFormat="false" ht="30" hidden="false" customHeight="true" outlineLevel="0" collapsed="false">
      <c r="A22" s="1"/>
      <c r="B22" s="6" t="s">
        <v>137</v>
      </c>
      <c r="C22" s="6" t="s">
        <v>138</v>
      </c>
      <c r="D22" s="6" t="s">
        <v>139</v>
      </c>
      <c r="E22" s="6"/>
      <c r="F22" s="6" t="s">
        <v>140</v>
      </c>
    </row>
    <row r="23" customFormat="false" ht="30" hidden="false" customHeight="true" outlineLevel="0" collapsed="false">
      <c r="A23" s="1"/>
      <c r="B23" s="8" t="s">
        <v>110</v>
      </c>
      <c r="C23" s="30" t="n">
        <v>29</v>
      </c>
      <c r="D23" s="31" t="s">
        <v>141</v>
      </c>
      <c r="E23" s="1"/>
      <c r="F23" s="17" t="s">
        <v>142</v>
      </c>
    </row>
    <row r="24" customFormat="false" ht="30" hidden="false" customHeight="true" outlineLevel="0" collapsed="false">
      <c r="A24" s="1"/>
      <c r="B24" s="8" t="s">
        <v>143</v>
      </c>
      <c r="C24" s="30" t="n">
        <v>1</v>
      </c>
      <c r="D24" s="31" t="s">
        <v>141</v>
      </c>
      <c r="E24" s="1"/>
      <c r="F24" s="17" t="s">
        <v>144</v>
      </c>
    </row>
    <row r="25" customFormat="false" ht="30" hidden="false" customHeight="true" outlineLevel="0" collapsed="false">
      <c r="A25" s="1"/>
      <c r="B25" s="8" t="s">
        <v>145</v>
      </c>
      <c r="C25" s="30" t="n">
        <v>48</v>
      </c>
      <c r="D25" s="31" t="s">
        <v>141</v>
      </c>
      <c r="E25" s="1"/>
      <c r="F25" s="17" t="s">
        <v>146</v>
      </c>
    </row>
    <row r="26" customFormat="false" ht="30" hidden="false" customHeight="true" outlineLevel="0" collapsed="false">
      <c r="A26" s="1"/>
      <c r="B26" s="8" t="s">
        <v>147</v>
      </c>
      <c r="C26" s="30" t="n">
        <v>45</v>
      </c>
      <c r="D26" s="32" t="s">
        <v>148</v>
      </c>
      <c r="E26" s="1"/>
      <c r="F26" s="17" t="s">
        <v>149</v>
      </c>
    </row>
    <row r="27" customFormat="false" ht="30" hidden="false" customHeight="true" outlineLevel="0" collapsed="false">
      <c r="A27" s="1"/>
      <c r="B27" s="8" t="s">
        <v>150</v>
      </c>
      <c r="C27" s="30" t="n">
        <v>90</v>
      </c>
      <c r="D27" s="32" t="s">
        <v>148</v>
      </c>
      <c r="E27" s="1"/>
      <c r="F27" s="17" t="s">
        <v>151</v>
      </c>
    </row>
    <row r="28" customFormat="false" ht="30" hidden="false" customHeight="true" outlineLevel="0" collapsed="false">
      <c r="A28" s="1"/>
      <c r="B28" s="8" t="s">
        <v>152</v>
      </c>
      <c r="C28" s="30" t="n">
        <v>240</v>
      </c>
      <c r="D28" s="32" t="s">
        <v>148</v>
      </c>
      <c r="E28" s="1"/>
      <c r="F28" s="17" t="s">
        <v>153</v>
      </c>
    </row>
    <row r="29" customFormat="false" ht="30" hidden="false" customHeight="true" outlineLevel="0" collapsed="false">
      <c r="A29" s="1"/>
      <c r="B29" s="8" t="s">
        <v>154</v>
      </c>
      <c r="C29" s="30" t="n">
        <v>1440</v>
      </c>
      <c r="D29" s="32" t="s">
        <v>148</v>
      </c>
      <c r="E29" s="1"/>
      <c r="F29" s="17" t="s">
        <v>155</v>
      </c>
    </row>
  </sheetData>
  <mergeCells count="2">
    <mergeCell ref="C5:E5"/>
    <mergeCell ref="B10:F10"/>
  </mergeCells>
  <conditionalFormatting sqref="C18">
    <cfRule type="cellIs" priority="2" operator="greaterThanOrEqual" aboveAverage="0" equalAverage="0" bottom="0" percent="0" rank="0" text="" dxfId="0">
      <formula>1</formula>
    </cfRule>
  </conditionalFormatting>
  <dataValidations count="1">
    <dataValidation allowBlank="true" errorStyle="stop" operator="between" showDropDown="false" showErrorMessage="false" showInputMessage="false" sqref="C5" type="list">
      <formula1>Reference!$B$91:$B$97</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U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9"/>
    <col collapsed="false" customWidth="true" hidden="false" outlineLevel="0" max="3" min="3" style="0" width="8"/>
    <col collapsed="false" customWidth="true" hidden="false" outlineLevel="0" max="4" min="4" style="0" width="34"/>
    <col collapsed="false" customWidth="true" hidden="false" outlineLevel="0" max="5" min="5" style="0" width="8"/>
    <col collapsed="false" customWidth="true" hidden="false" outlineLevel="0" max="6" min="6" style="0" width="52"/>
    <col collapsed="false" customWidth="true" hidden="false" outlineLevel="0" max="7" min="7" style="0" width="11"/>
    <col collapsed="false" customWidth="true" hidden="false" outlineLevel="0" max="8" min="8" style="0" width="22"/>
    <col collapsed="false" customWidth="true" hidden="false" outlineLevel="0" max="9" min="9" style="0" width="18"/>
    <col collapsed="false" customWidth="true" hidden="false" outlineLevel="0" max="10" min="10" style="0" width="26"/>
    <col collapsed="false" customWidth="true" hidden="false" outlineLevel="0" max="11" min="11" style="0" width="12"/>
    <col collapsed="false" customWidth="true" hidden="false" outlineLevel="0" max="12" min="12" style="0" width="9"/>
    <col collapsed="false" customWidth="true" hidden="false" outlineLevel="0" max="13" min="13" style="0" width="10"/>
    <col collapsed="false" customWidth="true" hidden="false" outlineLevel="0" max="14" min="14" style="0" width="16"/>
    <col collapsed="false" customWidth="true" hidden="false" outlineLevel="0" max="15" min="15" style="0" width="36"/>
    <col collapsed="false" customWidth="true" hidden="false" outlineLevel="0" max="17" min="16" style="0" width="9"/>
    <col collapsed="false" customWidth="true" hidden="false" outlineLevel="0" max="18" min="18" style="0" width="10"/>
    <col collapsed="false" customWidth="true" hidden="false" outlineLevel="0" max="21" min="19" style="0" width="9"/>
  </cols>
  <sheetData>
    <row r="1" customFormat="false" ht="19.7" hidden="false" customHeight="true" outlineLevel="0" collapsed="false">
      <c r="A1" s="33" t="s">
        <v>156</v>
      </c>
      <c r="B1" s="33"/>
      <c r="C1" s="33"/>
      <c r="D1" s="33"/>
      <c r="E1" s="33"/>
      <c r="F1" s="33"/>
      <c r="G1" s="1"/>
      <c r="H1" s="1"/>
      <c r="I1" s="1"/>
      <c r="J1" s="1"/>
      <c r="K1" s="1"/>
      <c r="L1" s="1"/>
      <c r="M1" s="1"/>
      <c r="N1" s="1"/>
      <c r="O1" s="1"/>
      <c r="P1" s="1"/>
      <c r="Q1" s="1"/>
      <c r="R1" s="1"/>
      <c r="S1" s="1"/>
      <c r="T1" s="1"/>
      <c r="U1" s="1"/>
    </row>
    <row r="2" customFormat="false" ht="22.35" hidden="false" customHeight="true" outlineLevel="0" collapsed="false">
      <c r="A2" s="19" t="s">
        <v>157</v>
      </c>
      <c r="B2" s="19"/>
      <c r="C2" s="19"/>
      <c r="D2" s="19"/>
      <c r="E2" s="19"/>
      <c r="F2" s="19"/>
      <c r="G2" s="1"/>
      <c r="H2" s="1"/>
      <c r="I2" s="1"/>
      <c r="J2" s="1"/>
      <c r="K2" s="1"/>
      <c r="L2" s="1"/>
      <c r="M2" s="1"/>
      <c r="N2" s="1"/>
      <c r="O2" s="1"/>
      <c r="P2" s="1"/>
      <c r="Q2" s="1"/>
      <c r="R2" s="1"/>
      <c r="S2" s="1"/>
      <c r="T2" s="1"/>
      <c r="U2" s="1"/>
    </row>
    <row r="3" customFormat="false" ht="15" hidden="false" customHeight="false" outlineLevel="0" collapsed="false">
      <c r="A3" s="1"/>
      <c r="B3" s="1"/>
      <c r="C3" s="1"/>
      <c r="D3" s="1"/>
      <c r="E3" s="1"/>
      <c r="F3" s="1"/>
      <c r="G3" s="1"/>
      <c r="H3" s="1"/>
      <c r="I3" s="1"/>
      <c r="J3" s="1"/>
      <c r="K3" s="1"/>
      <c r="L3" s="1"/>
      <c r="M3" s="1"/>
      <c r="N3" s="1"/>
      <c r="O3" s="1"/>
      <c r="P3" s="1"/>
      <c r="Q3" s="1"/>
      <c r="R3" s="1"/>
      <c r="S3" s="1"/>
      <c r="T3" s="1"/>
      <c r="U3" s="1"/>
    </row>
    <row r="4" customFormat="false" ht="30" hidden="false" customHeight="true" outlineLevel="0" collapsed="false">
      <c r="A4" s="6" t="s">
        <v>158</v>
      </c>
      <c r="B4" s="6" t="s">
        <v>159</v>
      </c>
      <c r="C4" s="6" t="s">
        <v>160</v>
      </c>
      <c r="D4" s="6" t="s">
        <v>161</v>
      </c>
      <c r="E4" s="6" t="s">
        <v>162</v>
      </c>
      <c r="F4" s="6" t="s">
        <v>163</v>
      </c>
      <c r="G4" s="6" t="s">
        <v>164</v>
      </c>
      <c r="H4" s="6" t="s">
        <v>165</v>
      </c>
      <c r="I4" s="6" t="s">
        <v>166</v>
      </c>
      <c r="J4" s="6" t="s">
        <v>167</v>
      </c>
      <c r="K4" s="6" t="s">
        <v>168</v>
      </c>
      <c r="L4" s="6" t="s">
        <v>169</v>
      </c>
      <c r="M4" s="6" t="s">
        <v>170</v>
      </c>
      <c r="N4" s="6" t="s">
        <v>171</v>
      </c>
      <c r="O4" s="6" t="s">
        <v>172</v>
      </c>
      <c r="P4" s="6" t="s">
        <v>173</v>
      </c>
      <c r="Q4" s="6" t="s">
        <v>174</v>
      </c>
      <c r="R4" s="6" t="s">
        <v>175</v>
      </c>
      <c r="S4" s="6" t="s">
        <v>176</v>
      </c>
      <c r="T4" s="6" t="s">
        <v>177</v>
      </c>
      <c r="U4" s="6" t="s">
        <v>178</v>
      </c>
    </row>
    <row r="5" customFormat="false" ht="33.75" hidden="false" customHeight="true" outlineLevel="0" collapsed="false">
      <c r="A5" s="8" t="s">
        <v>179</v>
      </c>
      <c r="B5" s="30" t="n">
        <v>10</v>
      </c>
      <c r="C5" s="34" t="s">
        <v>180</v>
      </c>
      <c r="D5" s="8" t="s">
        <v>181</v>
      </c>
      <c r="E5" s="30" t="n">
        <v>15</v>
      </c>
      <c r="F5" s="17" t="s">
        <v>182</v>
      </c>
      <c r="G5" s="20"/>
      <c r="H5" s="20"/>
      <c r="I5" s="20"/>
      <c r="J5" s="9"/>
      <c r="K5" s="18" t="str">
        <f aca="false">IF($H5="","",IF($H5&lt;&gt;"VC3 — Repeatably validated",$H5,IF(OR($I5="",'1 Context'!$C$7="",NOT(ISNUMBER(DATEVALUE(TEXT($I5,"yyyy-mm-dd"))))),"VC2 — Implemented and tested",IF(DATEDIF(DATEVALUE(TEXT($I5,"yyyy-mm-dd")),'1 Context'!$C$7,"m")&gt;12,"VC2 — Implemented and tested",$H5))))</f>
        <v/>
      </c>
      <c r="L5" s="24" t="n">
        <f aca="false">IF($K5="",1,IFERROR(INDEX(Reference!$C$15:$C$18,MATCH($K5,Reference!$B$15:$B$18,0)),1))</f>
        <v>1</v>
      </c>
      <c r="M5" s="35" t="str">
        <f aca="false">IF($G5="","",MIN($G5,$L5))</f>
        <v/>
      </c>
      <c r="N5" s="18" t="str">
        <f aca="false">IF($G5="","",IF($M5&lt;$G5,"capped "&amp;TEXT($G5,"0")&amp;" to "&amp;TEXT($M5,"0")&amp;IF($K5&lt;&gt;$H5," (evidence aged)",""),""))</f>
        <v/>
      </c>
      <c r="O5" s="17" t="s">
        <v>183</v>
      </c>
      <c r="P5" s="36" t="n">
        <v>0</v>
      </c>
      <c r="Q5" s="36" t="n">
        <v>1</v>
      </c>
      <c r="R5" s="36" t="n">
        <v>0</v>
      </c>
      <c r="S5" s="24" t="n">
        <f aca="false">IF($G5="",0,1)</f>
        <v>0</v>
      </c>
      <c r="T5" s="35" t="n">
        <f aca="false">IF($G5="",0,$G5)</f>
        <v>0</v>
      </c>
      <c r="U5" s="35" t="n">
        <f aca="false">IF($G5="",0,MIN($G5,$L5))</f>
        <v>0</v>
      </c>
    </row>
    <row r="6" customFormat="false" ht="33.75" hidden="false" customHeight="true" outlineLevel="0" collapsed="false">
      <c r="A6" s="8" t="s">
        <v>179</v>
      </c>
      <c r="B6" s="30" t="n">
        <v>10</v>
      </c>
      <c r="C6" s="34" t="s">
        <v>184</v>
      </c>
      <c r="D6" s="8" t="s">
        <v>185</v>
      </c>
      <c r="E6" s="30" t="n">
        <v>15</v>
      </c>
      <c r="F6" s="17" t="s">
        <v>186</v>
      </c>
      <c r="G6" s="20"/>
      <c r="H6" s="20"/>
      <c r="I6" s="20"/>
      <c r="J6" s="9"/>
      <c r="K6" s="18" t="str">
        <f aca="false">IF($H6="","",IF($H6&lt;&gt;"VC3 — Repeatably validated",$H6,IF(OR($I6="",'1 Context'!$C$7="",NOT(ISNUMBER(DATEVALUE(TEXT($I6,"yyyy-mm-dd"))))),"VC2 — Implemented and tested",IF(DATEDIF(DATEVALUE(TEXT($I6,"yyyy-mm-dd")),'1 Context'!$C$7,"m")&gt;12,"VC2 — Implemented and tested",$H6))))</f>
        <v/>
      </c>
      <c r="L6" s="24" t="n">
        <f aca="false">IF($K6="",1,IFERROR(INDEX(Reference!$C$15:$C$18,MATCH($K6,Reference!$B$15:$B$18,0)),1))</f>
        <v>1</v>
      </c>
      <c r="M6" s="35" t="str">
        <f aca="false">IF($G6="","",MIN($G6,$L6))</f>
        <v/>
      </c>
      <c r="N6" s="18" t="str">
        <f aca="false">IF($G6="","",IF($M6&lt;$G6,"capped "&amp;TEXT($G6,"0")&amp;" to "&amp;TEXT($M6,"0")&amp;IF($K6&lt;&gt;$H6," (evidence aged)",""),""))</f>
        <v/>
      </c>
      <c r="O6" s="17" t="s">
        <v>187</v>
      </c>
      <c r="P6" s="36" t="n">
        <v>1</v>
      </c>
      <c r="Q6" s="36" t="n">
        <v>0</v>
      </c>
      <c r="R6" s="36" t="n">
        <v>0</v>
      </c>
      <c r="S6" s="24" t="n">
        <f aca="false">IF($G6="",0,1)</f>
        <v>0</v>
      </c>
      <c r="T6" s="35" t="n">
        <f aca="false">IF($G6="",0,$G6)</f>
        <v>0</v>
      </c>
      <c r="U6" s="35" t="n">
        <f aca="false">IF($G6="",0,MIN($G6,$L6))</f>
        <v>0</v>
      </c>
    </row>
    <row r="7" customFormat="false" ht="33.75" hidden="false" customHeight="true" outlineLevel="0" collapsed="false">
      <c r="A7" s="8" t="s">
        <v>179</v>
      </c>
      <c r="B7" s="30" t="n">
        <v>10</v>
      </c>
      <c r="C7" s="34" t="s">
        <v>188</v>
      </c>
      <c r="D7" s="8" t="s">
        <v>189</v>
      </c>
      <c r="E7" s="30" t="n">
        <v>15</v>
      </c>
      <c r="F7" s="17" t="s">
        <v>190</v>
      </c>
      <c r="G7" s="20"/>
      <c r="H7" s="20"/>
      <c r="I7" s="20"/>
      <c r="J7" s="9"/>
      <c r="K7" s="18" t="str">
        <f aca="false">IF($H7="","",IF($H7&lt;&gt;"VC3 — Repeatably validated",$H7,IF(OR($I7="",'1 Context'!$C$7="",NOT(ISNUMBER(DATEVALUE(TEXT($I7,"yyyy-mm-dd"))))),"VC2 — Implemented and tested",IF(DATEDIF(DATEVALUE(TEXT($I7,"yyyy-mm-dd")),'1 Context'!$C$7,"m")&gt;12,"VC2 — Implemented and tested",$H7))))</f>
        <v/>
      </c>
      <c r="L7" s="24" t="n">
        <f aca="false">IF($K7="",1,IFERROR(INDEX(Reference!$C$15:$C$18,MATCH($K7,Reference!$B$15:$B$18,0)),1))</f>
        <v>1</v>
      </c>
      <c r="M7" s="35" t="str">
        <f aca="false">IF($G7="","",MIN($G7,$L7))</f>
        <v/>
      </c>
      <c r="N7" s="18" t="str">
        <f aca="false">IF($G7="","",IF($M7&lt;$G7,"capped "&amp;TEXT($G7,"0")&amp;" to "&amp;TEXT($M7,"0")&amp;IF($K7&lt;&gt;$H7," (evidence aged)",""),""))</f>
        <v/>
      </c>
      <c r="O7" s="17" t="s">
        <v>191</v>
      </c>
      <c r="P7" s="36" t="n">
        <v>2</v>
      </c>
      <c r="Q7" s="36" t="n">
        <v>0</v>
      </c>
      <c r="R7" s="36" t="n">
        <v>1</v>
      </c>
      <c r="S7" s="24" t="n">
        <f aca="false">IF($G7="",0,1)</f>
        <v>0</v>
      </c>
      <c r="T7" s="35" t="n">
        <f aca="false">IF($G7="",0,$G7)</f>
        <v>0</v>
      </c>
      <c r="U7" s="35" t="n">
        <f aca="false">IF($G7="",0,MIN($G7,$L7))</f>
        <v>0</v>
      </c>
    </row>
    <row r="8" customFormat="false" ht="33.75" hidden="false" customHeight="true" outlineLevel="0" collapsed="false">
      <c r="A8" s="8" t="s">
        <v>179</v>
      </c>
      <c r="B8" s="30" t="n">
        <v>10</v>
      </c>
      <c r="C8" s="34" t="s">
        <v>192</v>
      </c>
      <c r="D8" s="8" t="s">
        <v>193</v>
      </c>
      <c r="E8" s="30" t="n">
        <v>15</v>
      </c>
      <c r="F8" s="17" t="s">
        <v>194</v>
      </c>
      <c r="G8" s="20"/>
      <c r="H8" s="20"/>
      <c r="I8" s="20"/>
      <c r="J8" s="9"/>
      <c r="K8" s="18" t="str">
        <f aca="false">IF($H8="","",IF($H8&lt;&gt;"VC3 — Repeatably validated",$H8,IF(OR($I8="",'1 Context'!$C$7="",NOT(ISNUMBER(DATEVALUE(TEXT($I8,"yyyy-mm-dd"))))),"VC2 — Implemented and tested",IF(DATEDIF(DATEVALUE(TEXT($I8,"yyyy-mm-dd")),'1 Context'!$C$7,"m")&gt;12,"VC2 — Implemented and tested",$H8))))</f>
        <v/>
      </c>
      <c r="L8" s="24" t="n">
        <f aca="false">IF($K8="",1,IFERROR(INDEX(Reference!$C$15:$C$18,MATCH($K8,Reference!$B$15:$B$18,0)),1))</f>
        <v>1</v>
      </c>
      <c r="M8" s="35" t="str">
        <f aca="false">IF($G8="","",MIN($G8,$L8))</f>
        <v/>
      </c>
      <c r="N8" s="18" t="str">
        <f aca="false">IF($G8="","",IF($M8&lt;$G8,"capped "&amp;TEXT($G8,"0")&amp;" to "&amp;TEXT($M8,"0")&amp;IF($K8&lt;&gt;$H8," (evidence aged)",""),""))</f>
        <v/>
      </c>
      <c r="O8" s="17" t="s">
        <v>195</v>
      </c>
      <c r="P8" s="36" t="n">
        <v>1</v>
      </c>
      <c r="Q8" s="36" t="n">
        <v>0</v>
      </c>
      <c r="R8" s="36" t="n">
        <v>0</v>
      </c>
      <c r="S8" s="24" t="n">
        <f aca="false">IF($G8="",0,1)</f>
        <v>0</v>
      </c>
      <c r="T8" s="35" t="n">
        <f aca="false">IF($G8="",0,$G8)</f>
        <v>0</v>
      </c>
      <c r="U8" s="35" t="n">
        <f aca="false">IF($G8="",0,MIN($G8,$L8))</f>
        <v>0</v>
      </c>
    </row>
    <row r="9" customFormat="false" ht="33.75" hidden="false" customHeight="true" outlineLevel="0" collapsed="false">
      <c r="A9" s="8" t="s">
        <v>179</v>
      </c>
      <c r="B9" s="30" t="n">
        <v>10</v>
      </c>
      <c r="C9" s="34" t="s">
        <v>196</v>
      </c>
      <c r="D9" s="8" t="s">
        <v>197</v>
      </c>
      <c r="E9" s="30" t="n">
        <v>10</v>
      </c>
      <c r="F9" s="17" t="s">
        <v>198</v>
      </c>
      <c r="G9" s="20"/>
      <c r="H9" s="20"/>
      <c r="I9" s="20"/>
      <c r="J9" s="9"/>
      <c r="K9" s="18" t="str">
        <f aca="false">IF($H9="","",IF($H9&lt;&gt;"VC3 — Repeatably validated",$H9,IF(OR($I9="",'1 Context'!$C$7="",NOT(ISNUMBER(DATEVALUE(TEXT($I9,"yyyy-mm-dd"))))),"VC2 — Implemented and tested",IF(DATEDIF(DATEVALUE(TEXT($I9,"yyyy-mm-dd")),'1 Context'!$C$7,"m")&gt;12,"VC2 — Implemented and tested",$H9))))</f>
        <v/>
      </c>
      <c r="L9" s="24" t="n">
        <f aca="false">IF($K9="",1,IFERROR(INDEX(Reference!$C$15:$C$18,MATCH($K9,Reference!$B$15:$B$18,0)),1))</f>
        <v>1</v>
      </c>
      <c r="M9" s="35" t="str">
        <f aca="false">IF($G9="","",MIN($G9,$L9))</f>
        <v/>
      </c>
      <c r="N9" s="18" t="str">
        <f aca="false">IF($G9="","",IF($M9&lt;$G9,"capped "&amp;TEXT($G9,"0")&amp;" to "&amp;TEXT($M9,"0")&amp;IF($K9&lt;&gt;$H9," (evidence aged)",""),""))</f>
        <v/>
      </c>
      <c r="O9" s="17" t="s">
        <v>199</v>
      </c>
      <c r="P9" s="36" t="n">
        <v>0</v>
      </c>
      <c r="Q9" s="36" t="n">
        <v>0</v>
      </c>
      <c r="R9" s="36" t="n">
        <v>2</v>
      </c>
      <c r="S9" s="24" t="n">
        <f aca="false">IF($G9="",0,1)</f>
        <v>0</v>
      </c>
      <c r="T9" s="35" t="n">
        <f aca="false">IF($G9="",0,$G9)</f>
        <v>0</v>
      </c>
      <c r="U9" s="35" t="n">
        <f aca="false">IF($G9="",0,MIN($G9,$L9))</f>
        <v>0</v>
      </c>
    </row>
    <row r="10" customFormat="false" ht="33.75" hidden="false" customHeight="true" outlineLevel="0" collapsed="false">
      <c r="A10" s="8" t="s">
        <v>179</v>
      </c>
      <c r="B10" s="30" t="n">
        <v>10</v>
      </c>
      <c r="C10" s="34" t="s">
        <v>200</v>
      </c>
      <c r="D10" s="8" t="s">
        <v>201</v>
      </c>
      <c r="E10" s="30" t="n">
        <v>15</v>
      </c>
      <c r="F10" s="17" t="s">
        <v>202</v>
      </c>
      <c r="G10" s="20"/>
      <c r="H10" s="20"/>
      <c r="I10" s="20"/>
      <c r="J10" s="9"/>
      <c r="K10" s="18" t="str">
        <f aca="false">IF($H10="","",IF($H10&lt;&gt;"VC3 — Repeatably validated",$H10,IF(OR($I10="",'1 Context'!$C$7="",NOT(ISNUMBER(DATEVALUE(TEXT($I10,"yyyy-mm-dd"))))),"VC2 — Implemented and tested",IF(DATEDIF(DATEVALUE(TEXT($I10,"yyyy-mm-dd")),'1 Context'!$C$7,"m")&gt;12,"VC2 — Implemented and tested",$H10))))</f>
        <v/>
      </c>
      <c r="L10" s="24" t="n">
        <f aca="false">IF($K10="",1,IFERROR(INDEX(Reference!$C$15:$C$18,MATCH($K10,Reference!$B$15:$B$18,0)),1))</f>
        <v>1</v>
      </c>
      <c r="M10" s="35" t="str">
        <f aca="false">IF($G10="","",MIN($G10,$L10))</f>
        <v/>
      </c>
      <c r="N10" s="18" t="str">
        <f aca="false">IF($G10="","",IF($M10&lt;$G10,"capped "&amp;TEXT($G10,"0")&amp;" to "&amp;TEXT($M10,"0")&amp;IF($K10&lt;&gt;$H10," (evidence aged)",""),""))</f>
        <v/>
      </c>
      <c r="O10" s="17" t="s">
        <v>203</v>
      </c>
      <c r="P10" s="36" t="n">
        <v>0</v>
      </c>
      <c r="Q10" s="36" t="n">
        <v>2</v>
      </c>
      <c r="R10" s="36" t="n">
        <v>1</v>
      </c>
      <c r="S10" s="24" t="n">
        <f aca="false">IF($G10="",0,1)</f>
        <v>0</v>
      </c>
      <c r="T10" s="35" t="n">
        <f aca="false">IF($G10="",0,$G10)</f>
        <v>0</v>
      </c>
      <c r="U10" s="35" t="n">
        <f aca="false">IF($G10="",0,MIN($G10,$L10))</f>
        <v>0</v>
      </c>
    </row>
    <row r="11" customFormat="false" ht="33.75" hidden="false" customHeight="true" outlineLevel="0" collapsed="false">
      <c r="A11" s="8" t="s">
        <v>179</v>
      </c>
      <c r="B11" s="30" t="n">
        <v>10</v>
      </c>
      <c r="C11" s="34" t="s">
        <v>204</v>
      </c>
      <c r="D11" s="8" t="s">
        <v>205</v>
      </c>
      <c r="E11" s="30" t="n">
        <v>15</v>
      </c>
      <c r="F11" s="17" t="s">
        <v>206</v>
      </c>
      <c r="G11" s="20"/>
      <c r="H11" s="20"/>
      <c r="I11" s="20"/>
      <c r="J11" s="9"/>
      <c r="K11" s="18" t="str">
        <f aca="false">IF($H11="","",IF($H11&lt;&gt;"VC3 — Repeatably validated",$H11,IF(OR($I11="",'1 Context'!$C$7="",NOT(ISNUMBER(DATEVALUE(TEXT($I11,"yyyy-mm-dd"))))),"VC2 — Implemented and tested",IF(DATEDIF(DATEVALUE(TEXT($I11,"yyyy-mm-dd")),'1 Context'!$C$7,"m")&gt;12,"VC2 — Implemented and tested",$H11))))</f>
        <v/>
      </c>
      <c r="L11" s="24" t="n">
        <f aca="false">IF($K11="",1,IFERROR(INDEX(Reference!$C$15:$C$18,MATCH($K11,Reference!$B$15:$B$18,0)),1))</f>
        <v>1</v>
      </c>
      <c r="M11" s="35" t="str">
        <f aca="false">IF($G11="","",MIN($G11,$L11))</f>
        <v/>
      </c>
      <c r="N11" s="18" t="str">
        <f aca="false">IF($G11="","",IF($M11&lt;$G11,"capped "&amp;TEXT($G11,"0")&amp;" to "&amp;TEXT($M11,"0")&amp;IF($K11&lt;&gt;$H11," (evidence aged)",""),""))</f>
        <v/>
      </c>
      <c r="O11" s="17" t="s">
        <v>207</v>
      </c>
      <c r="P11" s="36" t="n">
        <v>0</v>
      </c>
      <c r="Q11" s="36" t="n">
        <v>2</v>
      </c>
      <c r="R11" s="36" t="n">
        <v>0</v>
      </c>
      <c r="S11" s="24" t="n">
        <f aca="false">IF($G11="",0,1)</f>
        <v>0</v>
      </c>
      <c r="T11" s="35" t="n">
        <f aca="false">IF($G11="",0,$G11)</f>
        <v>0</v>
      </c>
      <c r="U11" s="35" t="n">
        <f aca="false">IF($G11="",0,MIN($G11,$L11))</f>
        <v>0</v>
      </c>
    </row>
    <row r="12" customFormat="false" ht="33.75" hidden="false" customHeight="true" outlineLevel="0" collapsed="false">
      <c r="A12" s="8" t="s">
        <v>208</v>
      </c>
      <c r="B12" s="30" t="n">
        <v>12</v>
      </c>
      <c r="C12" s="34" t="s">
        <v>209</v>
      </c>
      <c r="D12" s="8" t="s">
        <v>210</v>
      </c>
      <c r="E12" s="30" t="n">
        <v>25</v>
      </c>
      <c r="F12" s="17" t="s">
        <v>211</v>
      </c>
      <c r="G12" s="20"/>
      <c r="H12" s="20"/>
      <c r="I12" s="20"/>
      <c r="J12" s="9"/>
      <c r="K12" s="18" t="str">
        <f aca="false">IF($H12="","",IF($H12&lt;&gt;"VC3 — Repeatably validated",$H12,IF(OR($I12="",'1 Context'!$C$7="",NOT(ISNUMBER(DATEVALUE(TEXT($I12,"yyyy-mm-dd"))))),"VC2 — Implemented and tested",IF(DATEDIF(DATEVALUE(TEXT($I12,"yyyy-mm-dd")),'1 Context'!$C$7,"m")&gt;12,"VC2 — Implemented and tested",$H12))))</f>
        <v/>
      </c>
      <c r="L12" s="24" t="n">
        <f aca="false">IF($K12="",1,IFERROR(INDEX(Reference!$C$15:$C$18,MATCH($K12,Reference!$B$15:$B$18,0)),1))</f>
        <v>1</v>
      </c>
      <c r="M12" s="35" t="str">
        <f aca="false">IF($G12="","",MIN($G12,$L12))</f>
        <v/>
      </c>
      <c r="N12" s="18" t="str">
        <f aca="false">IF($G12="","",IF($M12&lt;$G12,"capped "&amp;TEXT($G12,"0")&amp;" to "&amp;TEXT($M12,"0")&amp;IF($K12&lt;&gt;$H12," (evidence aged)",""),""))</f>
        <v/>
      </c>
      <c r="O12" s="17" t="s">
        <v>212</v>
      </c>
      <c r="P12" s="36" t="n">
        <v>2</v>
      </c>
      <c r="Q12" s="36" t="n">
        <v>0</v>
      </c>
      <c r="R12" s="36" t="n">
        <v>0</v>
      </c>
      <c r="S12" s="24" t="n">
        <f aca="false">IF($G12="",0,1)</f>
        <v>0</v>
      </c>
      <c r="T12" s="35" t="n">
        <f aca="false">IF($G12="",0,$G12)</f>
        <v>0</v>
      </c>
      <c r="U12" s="35" t="n">
        <f aca="false">IF($G12="",0,MIN($G12,$L12))</f>
        <v>0</v>
      </c>
    </row>
    <row r="13" customFormat="false" ht="33.75" hidden="false" customHeight="true" outlineLevel="0" collapsed="false">
      <c r="A13" s="8" t="s">
        <v>208</v>
      </c>
      <c r="B13" s="30" t="n">
        <v>12</v>
      </c>
      <c r="C13" s="34" t="s">
        <v>213</v>
      </c>
      <c r="D13" s="8" t="s">
        <v>214</v>
      </c>
      <c r="E13" s="30" t="n">
        <v>20</v>
      </c>
      <c r="F13" s="17" t="s">
        <v>215</v>
      </c>
      <c r="G13" s="20"/>
      <c r="H13" s="20"/>
      <c r="I13" s="20"/>
      <c r="J13" s="9"/>
      <c r="K13" s="18" t="str">
        <f aca="false">IF($H13="","",IF($H13&lt;&gt;"VC3 — Repeatably validated",$H13,IF(OR($I13="",'1 Context'!$C$7="",NOT(ISNUMBER(DATEVALUE(TEXT($I13,"yyyy-mm-dd"))))),"VC2 — Implemented and tested",IF(DATEDIF(DATEVALUE(TEXT($I13,"yyyy-mm-dd")),'1 Context'!$C$7,"m")&gt;12,"VC2 — Implemented and tested",$H13))))</f>
        <v/>
      </c>
      <c r="L13" s="24" t="n">
        <f aca="false">IF($K13="",1,IFERROR(INDEX(Reference!$C$15:$C$18,MATCH($K13,Reference!$B$15:$B$18,0)),1))</f>
        <v>1</v>
      </c>
      <c r="M13" s="35" t="str">
        <f aca="false">IF($G13="","",MIN($G13,$L13))</f>
        <v/>
      </c>
      <c r="N13" s="18" t="str">
        <f aca="false">IF($G13="","",IF($M13&lt;$G13,"capped "&amp;TEXT($G13,"0")&amp;" to "&amp;TEXT($M13,"0")&amp;IF($K13&lt;&gt;$H13," (evidence aged)",""),""))</f>
        <v/>
      </c>
      <c r="O13" s="17" t="s">
        <v>216</v>
      </c>
      <c r="P13" s="36" t="n">
        <v>2</v>
      </c>
      <c r="Q13" s="36" t="n">
        <v>0</v>
      </c>
      <c r="R13" s="36" t="n">
        <v>0</v>
      </c>
      <c r="S13" s="24" t="n">
        <f aca="false">IF($G13="",0,1)</f>
        <v>0</v>
      </c>
      <c r="T13" s="35" t="n">
        <f aca="false">IF($G13="",0,$G13)</f>
        <v>0</v>
      </c>
      <c r="U13" s="35" t="n">
        <f aca="false">IF($G13="",0,MIN($G13,$L13))</f>
        <v>0</v>
      </c>
    </row>
    <row r="14" customFormat="false" ht="33.75" hidden="false" customHeight="true" outlineLevel="0" collapsed="false">
      <c r="A14" s="8" t="s">
        <v>208</v>
      </c>
      <c r="B14" s="30" t="n">
        <v>12</v>
      </c>
      <c r="C14" s="34" t="s">
        <v>217</v>
      </c>
      <c r="D14" s="8" t="s">
        <v>218</v>
      </c>
      <c r="E14" s="30" t="n">
        <v>15</v>
      </c>
      <c r="F14" s="17" t="s">
        <v>219</v>
      </c>
      <c r="G14" s="20"/>
      <c r="H14" s="20"/>
      <c r="I14" s="20"/>
      <c r="J14" s="9"/>
      <c r="K14" s="18" t="str">
        <f aca="false">IF($H14="","",IF($H14&lt;&gt;"VC3 — Repeatably validated",$H14,IF(OR($I14="",'1 Context'!$C$7="",NOT(ISNUMBER(DATEVALUE(TEXT($I14,"yyyy-mm-dd"))))),"VC2 — Implemented and tested",IF(DATEDIF(DATEVALUE(TEXT($I14,"yyyy-mm-dd")),'1 Context'!$C$7,"m")&gt;12,"VC2 — Implemented and tested",$H14))))</f>
        <v/>
      </c>
      <c r="L14" s="24" t="n">
        <f aca="false">IF($K14="",1,IFERROR(INDEX(Reference!$C$15:$C$18,MATCH($K14,Reference!$B$15:$B$18,0)),1))</f>
        <v>1</v>
      </c>
      <c r="M14" s="35" t="str">
        <f aca="false">IF($G14="","",MIN($G14,$L14))</f>
        <v/>
      </c>
      <c r="N14" s="18" t="str">
        <f aca="false">IF($G14="","",IF($M14&lt;$G14,"capped "&amp;TEXT($G14,"0")&amp;" to "&amp;TEXT($M14,"0")&amp;IF($K14&lt;&gt;$H14," (evidence aged)",""),""))</f>
        <v/>
      </c>
      <c r="O14" s="17" t="s">
        <v>220</v>
      </c>
      <c r="P14" s="36" t="n">
        <v>1</v>
      </c>
      <c r="Q14" s="36" t="n">
        <v>0</v>
      </c>
      <c r="R14" s="36" t="n">
        <v>0</v>
      </c>
      <c r="S14" s="24" t="n">
        <f aca="false">IF($G14="",0,1)</f>
        <v>0</v>
      </c>
      <c r="T14" s="35" t="n">
        <f aca="false">IF($G14="",0,$G14)</f>
        <v>0</v>
      </c>
      <c r="U14" s="35" t="n">
        <f aca="false">IF($G14="",0,MIN($G14,$L14))</f>
        <v>0</v>
      </c>
    </row>
    <row r="15" customFormat="false" ht="33.75" hidden="false" customHeight="true" outlineLevel="0" collapsed="false">
      <c r="A15" s="8" t="s">
        <v>208</v>
      </c>
      <c r="B15" s="30" t="n">
        <v>12</v>
      </c>
      <c r="C15" s="34" t="s">
        <v>221</v>
      </c>
      <c r="D15" s="8" t="s">
        <v>222</v>
      </c>
      <c r="E15" s="30" t="n">
        <v>15</v>
      </c>
      <c r="F15" s="17" t="s">
        <v>223</v>
      </c>
      <c r="G15" s="20"/>
      <c r="H15" s="20"/>
      <c r="I15" s="20"/>
      <c r="J15" s="9"/>
      <c r="K15" s="18" t="str">
        <f aca="false">IF($H15="","",IF($H15&lt;&gt;"VC3 — Repeatably validated",$H15,IF(OR($I15="",'1 Context'!$C$7="",NOT(ISNUMBER(DATEVALUE(TEXT($I15,"yyyy-mm-dd"))))),"VC2 — Implemented and tested",IF(DATEDIF(DATEVALUE(TEXT($I15,"yyyy-mm-dd")),'1 Context'!$C$7,"m")&gt;12,"VC2 — Implemented and tested",$H15))))</f>
        <v/>
      </c>
      <c r="L15" s="24" t="n">
        <f aca="false">IF($K15="",1,IFERROR(INDEX(Reference!$C$15:$C$18,MATCH($K15,Reference!$B$15:$B$18,0)),1))</f>
        <v>1</v>
      </c>
      <c r="M15" s="35" t="str">
        <f aca="false">IF($G15="","",MIN($G15,$L15))</f>
        <v/>
      </c>
      <c r="N15" s="18" t="str">
        <f aca="false">IF($G15="","",IF($M15&lt;$G15,"capped "&amp;TEXT($G15,"0")&amp;" to "&amp;TEXT($M15,"0")&amp;IF($K15&lt;&gt;$H15," (evidence aged)",""),""))</f>
        <v/>
      </c>
      <c r="O15" s="17" t="s">
        <v>224</v>
      </c>
      <c r="P15" s="36" t="n">
        <v>2</v>
      </c>
      <c r="Q15" s="36" t="n">
        <v>0</v>
      </c>
      <c r="R15" s="36" t="n">
        <v>2</v>
      </c>
      <c r="S15" s="24" t="n">
        <f aca="false">IF($G15="",0,1)</f>
        <v>0</v>
      </c>
      <c r="T15" s="35" t="n">
        <f aca="false">IF($G15="",0,$G15)</f>
        <v>0</v>
      </c>
      <c r="U15" s="35" t="n">
        <f aca="false">IF($G15="",0,MIN($G15,$L15))</f>
        <v>0</v>
      </c>
    </row>
    <row r="16" customFormat="false" ht="33.75" hidden="false" customHeight="true" outlineLevel="0" collapsed="false">
      <c r="A16" s="8" t="s">
        <v>208</v>
      </c>
      <c r="B16" s="30" t="n">
        <v>12</v>
      </c>
      <c r="C16" s="34" t="s">
        <v>225</v>
      </c>
      <c r="D16" s="8" t="s">
        <v>226</v>
      </c>
      <c r="E16" s="30" t="n">
        <v>15</v>
      </c>
      <c r="F16" s="17" t="s">
        <v>227</v>
      </c>
      <c r="G16" s="20"/>
      <c r="H16" s="20"/>
      <c r="I16" s="20"/>
      <c r="J16" s="9"/>
      <c r="K16" s="18" t="str">
        <f aca="false">IF($H16="","",IF($H16&lt;&gt;"VC3 — Repeatably validated",$H16,IF(OR($I16="",'1 Context'!$C$7="",NOT(ISNUMBER(DATEVALUE(TEXT($I16,"yyyy-mm-dd"))))),"VC2 — Implemented and tested",IF(DATEDIF(DATEVALUE(TEXT($I16,"yyyy-mm-dd")),'1 Context'!$C$7,"m")&gt;12,"VC2 — Implemented and tested",$H16))))</f>
        <v/>
      </c>
      <c r="L16" s="24" t="n">
        <f aca="false">IF($K16="",1,IFERROR(INDEX(Reference!$C$15:$C$18,MATCH($K16,Reference!$B$15:$B$18,0)),1))</f>
        <v>1</v>
      </c>
      <c r="M16" s="35" t="str">
        <f aca="false">IF($G16="","",MIN($G16,$L16))</f>
        <v/>
      </c>
      <c r="N16" s="18" t="str">
        <f aca="false">IF($G16="","",IF($M16&lt;$G16,"capped "&amp;TEXT($G16,"0")&amp;" to "&amp;TEXT($M16,"0")&amp;IF($K16&lt;&gt;$H16," (evidence aged)",""),""))</f>
        <v/>
      </c>
      <c r="O16" s="17" t="s">
        <v>228</v>
      </c>
      <c r="P16" s="36" t="n">
        <v>2</v>
      </c>
      <c r="Q16" s="36" t="n">
        <v>0</v>
      </c>
      <c r="R16" s="36" t="n">
        <v>0</v>
      </c>
      <c r="S16" s="24" t="n">
        <f aca="false">IF($G16="",0,1)</f>
        <v>0</v>
      </c>
      <c r="T16" s="35" t="n">
        <f aca="false">IF($G16="",0,$G16)</f>
        <v>0</v>
      </c>
      <c r="U16" s="35" t="n">
        <f aca="false">IF($G16="",0,MIN($G16,$L16))</f>
        <v>0</v>
      </c>
    </row>
    <row r="17" customFormat="false" ht="33.75" hidden="false" customHeight="true" outlineLevel="0" collapsed="false">
      <c r="A17" s="8" t="s">
        <v>208</v>
      </c>
      <c r="B17" s="30" t="n">
        <v>12</v>
      </c>
      <c r="C17" s="34" t="s">
        <v>229</v>
      </c>
      <c r="D17" s="8" t="s">
        <v>230</v>
      </c>
      <c r="E17" s="30" t="n">
        <v>10</v>
      </c>
      <c r="F17" s="17" t="s">
        <v>231</v>
      </c>
      <c r="G17" s="20"/>
      <c r="H17" s="20"/>
      <c r="I17" s="20"/>
      <c r="J17" s="9"/>
      <c r="K17" s="18" t="str">
        <f aca="false">IF($H17="","",IF($H17&lt;&gt;"VC3 — Repeatably validated",$H17,IF(OR($I17="",'1 Context'!$C$7="",NOT(ISNUMBER(DATEVALUE(TEXT($I17,"yyyy-mm-dd"))))),"VC2 — Implemented and tested",IF(DATEDIF(DATEVALUE(TEXT($I17,"yyyy-mm-dd")),'1 Context'!$C$7,"m")&gt;12,"VC2 — Implemented and tested",$H17))))</f>
        <v/>
      </c>
      <c r="L17" s="24" t="n">
        <f aca="false">IF($K17="",1,IFERROR(INDEX(Reference!$C$15:$C$18,MATCH($K17,Reference!$B$15:$B$18,0)),1))</f>
        <v>1</v>
      </c>
      <c r="M17" s="35" t="str">
        <f aca="false">IF($G17="","",MIN($G17,$L17))</f>
        <v/>
      </c>
      <c r="N17" s="18" t="str">
        <f aca="false">IF($G17="","",IF($M17&lt;$G17,"capped "&amp;TEXT($G17,"0")&amp;" to "&amp;TEXT($M17,"0")&amp;IF($K17&lt;&gt;$H17," (evidence aged)",""),""))</f>
        <v/>
      </c>
      <c r="O17" s="17" t="s">
        <v>232</v>
      </c>
      <c r="P17" s="36" t="n">
        <v>1</v>
      </c>
      <c r="Q17" s="36" t="n">
        <v>1</v>
      </c>
      <c r="R17" s="36" t="n">
        <v>0</v>
      </c>
      <c r="S17" s="24" t="n">
        <f aca="false">IF($G17="",0,1)</f>
        <v>0</v>
      </c>
      <c r="T17" s="35" t="n">
        <f aca="false">IF($G17="",0,$G17)</f>
        <v>0</v>
      </c>
      <c r="U17" s="35" t="n">
        <f aca="false">IF($G17="",0,MIN($G17,$L17))</f>
        <v>0</v>
      </c>
    </row>
    <row r="18" customFormat="false" ht="33.75" hidden="false" customHeight="true" outlineLevel="0" collapsed="false">
      <c r="A18" s="8" t="s">
        <v>233</v>
      </c>
      <c r="B18" s="30" t="n">
        <v>16</v>
      </c>
      <c r="C18" s="34" t="s">
        <v>234</v>
      </c>
      <c r="D18" s="8" t="s">
        <v>235</v>
      </c>
      <c r="E18" s="30" t="n">
        <v>15</v>
      </c>
      <c r="F18" s="17" t="s">
        <v>236</v>
      </c>
      <c r="G18" s="20"/>
      <c r="H18" s="20"/>
      <c r="I18" s="20"/>
      <c r="J18" s="9"/>
      <c r="K18" s="18" t="str">
        <f aca="false">IF($H18="","",IF($H18&lt;&gt;"VC3 — Repeatably validated",$H18,IF(OR($I18="",'1 Context'!$C$7="",NOT(ISNUMBER(DATEVALUE(TEXT($I18,"yyyy-mm-dd"))))),"VC2 — Implemented and tested",IF(DATEDIF(DATEVALUE(TEXT($I18,"yyyy-mm-dd")),'1 Context'!$C$7,"m")&gt;12,"VC2 — Implemented and tested",$H18))))</f>
        <v/>
      </c>
      <c r="L18" s="24" t="n">
        <f aca="false">IF($K18="",1,IFERROR(INDEX(Reference!$C$15:$C$18,MATCH($K18,Reference!$B$15:$B$18,0)),1))</f>
        <v>1</v>
      </c>
      <c r="M18" s="35" t="str">
        <f aca="false">IF($G18="","",MIN($G18,$L18))</f>
        <v/>
      </c>
      <c r="N18" s="18" t="str">
        <f aca="false">IF($G18="","",IF($M18&lt;$G18,"capped "&amp;TEXT($G18,"0")&amp;" to "&amp;TEXT($M18,"0")&amp;IF($K18&lt;&gt;$H18," (evidence aged)",""),""))</f>
        <v/>
      </c>
      <c r="O18" s="17" t="s">
        <v>237</v>
      </c>
      <c r="P18" s="36" t="n">
        <v>2</v>
      </c>
      <c r="Q18" s="36" t="n">
        <v>0</v>
      </c>
      <c r="R18" s="36" t="n">
        <v>0</v>
      </c>
      <c r="S18" s="24" t="n">
        <f aca="false">IF($G18="",0,1)</f>
        <v>0</v>
      </c>
      <c r="T18" s="35" t="n">
        <f aca="false">IF($G18="",0,$G18)</f>
        <v>0</v>
      </c>
      <c r="U18" s="35" t="n">
        <f aca="false">IF($G18="",0,MIN($G18,$L18))</f>
        <v>0</v>
      </c>
    </row>
    <row r="19" customFormat="false" ht="33.75" hidden="false" customHeight="true" outlineLevel="0" collapsed="false">
      <c r="A19" s="8" t="s">
        <v>233</v>
      </c>
      <c r="B19" s="30" t="n">
        <v>16</v>
      </c>
      <c r="C19" s="34" t="s">
        <v>238</v>
      </c>
      <c r="D19" s="8" t="s">
        <v>239</v>
      </c>
      <c r="E19" s="30" t="n">
        <v>12</v>
      </c>
      <c r="F19" s="17" t="s">
        <v>240</v>
      </c>
      <c r="G19" s="20"/>
      <c r="H19" s="20"/>
      <c r="I19" s="20"/>
      <c r="J19" s="9"/>
      <c r="K19" s="18" t="str">
        <f aca="false">IF($H19="","",IF($H19&lt;&gt;"VC3 — Repeatably validated",$H19,IF(OR($I19="",'1 Context'!$C$7="",NOT(ISNUMBER(DATEVALUE(TEXT($I19,"yyyy-mm-dd"))))),"VC2 — Implemented and tested",IF(DATEDIF(DATEVALUE(TEXT($I19,"yyyy-mm-dd")),'1 Context'!$C$7,"m")&gt;12,"VC2 — Implemented and tested",$H19))))</f>
        <v/>
      </c>
      <c r="L19" s="24" t="n">
        <f aca="false">IF($K19="",1,IFERROR(INDEX(Reference!$C$15:$C$18,MATCH($K19,Reference!$B$15:$B$18,0)),1))</f>
        <v>1</v>
      </c>
      <c r="M19" s="35" t="str">
        <f aca="false">IF($G19="","",MIN($G19,$L19))</f>
        <v/>
      </c>
      <c r="N19" s="18" t="str">
        <f aca="false">IF($G19="","",IF($M19&lt;$G19,"capped "&amp;TEXT($G19,"0")&amp;" to "&amp;TEXT($M19,"0")&amp;IF($K19&lt;&gt;$H19," (evidence aged)",""),""))</f>
        <v/>
      </c>
      <c r="O19" s="17" t="s">
        <v>241</v>
      </c>
      <c r="P19" s="36" t="n">
        <v>1</v>
      </c>
      <c r="Q19" s="36" t="n">
        <v>0</v>
      </c>
      <c r="R19" s="36" t="n">
        <v>0</v>
      </c>
      <c r="S19" s="24" t="n">
        <f aca="false">IF($G19="",0,1)</f>
        <v>0</v>
      </c>
      <c r="T19" s="35" t="n">
        <f aca="false">IF($G19="",0,$G19)</f>
        <v>0</v>
      </c>
      <c r="U19" s="35" t="n">
        <f aca="false">IF($G19="",0,MIN($G19,$L19))</f>
        <v>0</v>
      </c>
    </row>
    <row r="20" customFormat="false" ht="33.75" hidden="false" customHeight="true" outlineLevel="0" collapsed="false">
      <c r="A20" s="8" t="s">
        <v>233</v>
      </c>
      <c r="B20" s="30" t="n">
        <v>16</v>
      </c>
      <c r="C20" s="34" t="s">
        <v>242</v>
      </c>
      <c r="D20" s="8" t="s">
        <v>243</v>
      </c>
      <c r="E20" s="30" t="n">
        <v>12</v>
      </c>
      <c r="F20" s="17" t="s">
        <v>244</v>
      </c>
      <c r="G20" s="20"/>
      <c r="H20" s="20"/>
      <c r="I20" s="20"/>
      <c r="J20" s="9"/>
      <c r="K20" s="18" t="str">
        <f aca="false">IF($H20="","",IF($H20&lt;&gt;"VC3 — Repeatably validated",$H20,IF(OR($I20="",'1 Context'!$C$7="",NOT(ISNUMBER(DATEVALUE(TEXT($I20,"yyyy-mm-dd"))))),"VC2 — Implemented and tested",IF(DATEDIF(DATEVALUE(TEXT($I20,"yyyy-mm-dd")),'1 Context'!$C$7,"m")&gt;12,"VC2 — Implemented and tested",$H20))))</f>
        <v/>
      </c>
      <c r="L20" s="24" t="n">
        <f aca="false">IF($K20="",1,IFERROR(INDEX(Reference!$C$15:$C$18,MATCH($K20,Reference!$B$15:$B$18,0)),1))</f>
        <v>1</v>
      </c>
      <c r="M20" s="35" t="str">
        <f aca="false">IF($G20="","",MIN($G20,$L20))</f>
        <v/>
      </c>
      <c r="N20" s="18" t="str">
        <f aca="false">IF($G20="","",IF($M20&lt;$G20,"capped "&amp;TEXT($G20,"0")&amp;" to "&amp;TEXT($M20,"0")&amp;IF($K20&lt;&gt;$H20," (evidence aged)",""),""))</f>
        <v/>
      </c>
      <c r="O20" s="17" t="s">
        <v>245</v>
      </c>
      <c r="P20" s="36" t="n">
        <v>1</v>
      </c>
      <c r="Q20" s="36" t="n">
        <v>0</v>
      </c>
      <c r="R20" s="36" t="n">
        <v>0</v>
      </c>
      <c r="S20" s="24" t="n">
        <f aca="false">IF($G20="",0,1)</f>
        <v>0</v>
      </c>
      <c r="T20" s="35" t="n">
        <f aca="false">IF($G20="",0,$G20)</f>
        <v>0</v>
      </c>
      <c r="U20" s="35" t="n">
        <f aca="false">IF($G20="",0,MIN($G20,$L20))</f>
        <v>0</v>
      </c>
    </row>
    <row r="21" customFormat="false" ht="33.75" hidden="false" customHeight="true" outlineLevel="0" collapsed="false">
      <c r="A21" s="8" t="s">
        <v>233</v>
      </c>
      <c r="B21" s="30" t="n">
        <v>16</v>
      </c>
      <c r="C21" s="34" t="s">
        <v>246</v>
      </c>
      <c r="D21" s="8" t="s">
        <v>247</v>
      </c>
      <c r="E21" s="30" t="n">
        <v>12</v>
      </c>
      <c r="F21" s="17" t="s">
        <v>248</v>
      </c>
      <c r="G21" s="20"/>
      <c r="H21" s="20"/>
      <c r="I21" s="20"/>
      <c r="J21" s="9"/>
      <c r="K21" s="18" t="str">
        <f aca="false">IF($H21="","",IF($H21&lt;&gt;"VC3 — Repeatably validated",$H21,IF(OR($I21="",'1 Context'!$C$7="",NOT(ISNUMBER(DATEVALUE(TEXT($I21,"yyyy-mm-dd"))))),"VC2 — Implemented and tested",IF(DATEDIF(DATEVALUE(TEXT($I21,"yyyy-mm-dd")),'1 Context'!$C$7,"m")&gt;12,"VC2 — Implemented and tested",$H21))))</f>
        <v/>
      </c>
      <c r="L21" s="24" t="n">
        <f aca="false">IF($K21="",1,IFERROR(INDEX(Reference!$C$15:$C$18,MATCH($K21,Reference!$B$15:$B$18,0)),1))</f>
        <v>1</v>
      </c>
      <c r="M21" s="35" t="str">
        <f aca="false">IF($G21="","",MIN($G21,$L21))</f>
        <v/>
      </c>
      <c r="N21" s="18" t="str">
        <f aca="false">IF($G21="","",IF($M21&lt;$G21,"capped "&amp;TEXT($G21,"0")&amp;" to "&amp;TEXT($M21,"0")&amp;IF($K21&lt;&gt;$H21," (evidence aged)",""),""))</f>
        <v/>
      </c>
      <c r="O21" s="17" t="s">
        <v>249</v>
      </c>
      <c r="P21" s="36" t="n">
        <v>1</v>
      </c>
      <c r="Q21" s="36" t="n">
        <v>0</v>
      </c>
      <c r="R21" s="36" t="n">
        <v>0</v>
      </c>
      <c r="S21" s="24" t="n">
        <f aca="false">IF($G21="",0,1)</f>
        <v>0</v>
      </c>
      <c r="T21" s="35" t="n">
        <f aca="false">IF($G21="",0,$G21)</f>
        <v>0</v>
      </c>
      <c r="U21" s="35" t="n">
        <f aca="false">IF($G21="",0,MIN($G21,$L21))</f>
        <v>0</v>
      </c>
    </row>
    <row r="22" customFormat="false" ht="33.75" hidden="false" customHeight="true" outlineLevel="0" collapsed="false">
      <c r="A22" s="8" t="s">
        <v>233</v>
      </c>
      <c r="B22" s="30" t="n">
        <v>16</v>
      </c>
      <c r="C22" s="34" t="s">
        <v>250</v>
      </c>
      <c r="D22" s="8" t="s">
        <v>251</v>
      </c>
      <c r="E22" s="30" t="n">
        <v>8</v>
      </c>
      <c r="F22" s="17" t="s">
        <v>252</v>
      </c>
      <c r="G22" s="20"/>
      <c r="H22" s="20"/>
      <c r="I22" s="20"/>
      <c r="J22" s="9"/>
      <c r="K22" s="18" t="str">
        <f aca="false">IF($H22="","",IF($H22&lt;&gt;"VC3 — Repeatably validated",$H22,IF(OR($I22="",'1 Context'!$C$7="",NOT(ISNUMBER(DATEVALUE(TEXT($I22,"yyyy-mm-dd"))))),"VC2 — Implemented and tested",IF(DATEDIF(DATEVALUE(TEXT($I22,"yyyy-mm-dd")),'1 Context'!$C$7,"m")&gt;12,"VC2 — Implemented and tested",$H22))))</f>
        <v/>
      </c>
      <c r="L22" s="24" t="n">
        <f aca="false">IF($K22="",1,IFERROR(INDEX(Reference!$C$15:$C$18,MATCH($K22,Reference!$B$15:$B$18,0)),1))</f>
        <v>1</v>
      </c>
      <c r="M22" s="35" t="str">
        <f aca="false">IF($G22="","",MIN($G22,$L22))</f>
        <v/>
      </c>
      <c r="N22" s="18" t="str">
        <f aca="false">IF($G22="","",IF($M22&lt;$G22,"capped "&amp;TEXT($G22,"0")&amp;" to "&amp;TEXT($M22,"0")&amp;IF($K22&lt;&gt;$H22," (evidence aged)",""),""))</f>
        <v/>
      </c>
      <c r="O22" s="17" t="s">
        <v>253</v>
      </c>
      <c r="P22" s="36" t="n">
        <v>0</v>
      </c>
      <c r="Q22" s="36" t="n">
        <v>0</v>
      </c>
      <c r="R22" s="36" t="n">
        <v>0</v>
      </c>
      <c r="S22" s="24" t="n">
        <f aca="false">IF($G22="",0,1)</f>
        <v>0</v>
      </c>
      <c r="T22" s="35" t="n">
        <f aca="false">IF($G22="",0,$G22)</f>
        <v>0</v>
      </c>
      <c r="U22" s="35" t="n">
        <f aca="false">IF($G22="",0,MIN($G22,$L22))</f>
        <v>0</v>
      </c>
    </row>
    <row r="23" customFormat="false" ht="33.75" hidden="false" customHeight="true" outlineLevel="0" collapsed="false">
      <c r="A23" s="8" t="s">
        <v>233</v>
      </c>
      <c r="B23" s="30" t="n">
        <v>16</v>
      </c>
      <c r="C23" s="34" t="s">
        <v>254</v>
      </c>
      <c r="D23" s="8" t="s">
        <v>255</v>
      </c>
      <c r="E23" s="30" t="n">
        <v>10</v>
      </c>
      <c r="F23" s="17" t="s">
        <v>256</v>
      </c>
      <c r="G23" s="20"/>
      <c r="H23" s="20"/>
      <c r="I23" s="20"/>
      <c r="J23" s="9"/>
      <c r="K23" s="18" t="str">
        <f aca="false">IF($H23="","",IF($H23&lt;&gt;"VC3 — Repeatably validated",$H23,IF(OR($I23="",'1 Context'!$C$7="",NOT(ISNUMBER(DATEVALUE(TEXT($I23,"yyyy-mm-dd"))))),"VC2 — Implemented and tested",IF(DATEDIF(DATEVALUE(TEXT($I23,"yyyy-mm-dd")),'1 Context'!$C$7,"m")&gt;12,"VC2 — Implemented and tested",$H23))))</f>
        <v/>
      </c>
      <c r="L23" s="24" t="n">
        <f aca="false">IF($K23="",1,IFERROR(INDEX(Reference!$C$15:$C$18,MATCH($K23,Reference!$B$15:$B$18,0)),1))</f>
        <v>1</v>
      </c>
      <c r="M23" s="35" t="str">
        <f aca="false">IF($G23="","",MIN($G23,$L23))</f>
        <v/>
      </c>
      <c r="N23" s="18" t="str">
        <f aca="false">IF($G23="","",IF($M23&lt;$G23,"capped "&amp;TEXT($G23,"0")&amp;" to "&amp;TEXT($M23,"0")&amp;IF($K23&lt;&gt;$H23," (evidence aged)",""),""))</f>
        <v/>
      </c>
      <c r="O23" s="17" t="s">
        <v>257</v>
      </c>
      <c r="P23" s="36" t="n">
        <v>1</v>
      </c>
      <c r="Q23" s="36" t="n">
        <v>0</v>
      </c>
      <c r="R23" s="36" t="n">
        <v>0</v>
      </c>
      <c r="S23" s="24" t="n">
        <f aca="false">IF($G23="",0,1)</f>
        <v>0</v>
      </c>
      <c r="T23" s="35" t="n">
        <f aca="false">IF($G23="",0,$G23)</f>
        <v>0</v>
      </c>
      <c r="U23" s="35" t="n">
        <f aca="false">IF($G23="",0,MIN($G23,$L23))</f>
        <v>0</v>
      </c>
    </row>
    <row r="24" customFormat="false" ht="33.75" hidden="false" customHeight="true" outlineLevel="0" collapsed="false">
      <c r="A24" s="8" t="s">
        <v>233</v>
      </c>
      <c r="B24" s="30" t="n">
        <v>16</v>
      </c>
      <c r="C24" s="34" t="s">
        <v>258</v>
      </c>
      <c r="D24" s="8" t="s">
        <v>259</v>
      </c>
      <c r="E24" s="30" t="n">
        <v>8</v>
      </c>
      <c r="F24" s="17" t="s">
        <v>260</v>
      </c>
      <c r="G24" s="20"/>
      <c r="H24" s="20"/>
      <c r="I24" s="20"/>
      <c r="J24" s="9"/>
      <c r="K24" s="18" t="str">
        <f aca="false">IF($H24="","",IF($H24&lt;&gt;"VC3 — Repeatably validated",$H24,IF(OR($I24="",'1 Context'!$C$7="",NOT(ISNUMBER(DATEVALUE(TEXT($I24,"yyyy-mm-dd"))))),"VC2 — Implemented and tested",IF(DATEDIF(DATEVALUE(TEXT($I24,"yyyy-mm-dd")),'1 Context'!$C$7,"m")&gt;12,"VC2 — Implemented and tested",$H24))))</f>
        <v/>
      </c>
      <c r="L24" s="24" t="n">
        <f aca="false">IF($K24="",1,IFERROR(INDEX(Reference!$C$15:$C$18,MATCH($K24,Reference!$B$15:$B$18,0)),1))</f>
        <v>1</v>
      </c>
      <c r="M24" s="35" t="str">
        <f aca="false">IF($G24="","",MIN($G24,$L24))</f>
        <v/>
      </c>
      <c r="N24" s="18" t="str">
        <f aca="false">IF($G24="","",IF($M24&lt;$G24,"capped "&amp;TEXT($G24,"0")&amp;" to "&amp;TEXT($M24,"0")&amp;IF($K24&lt;&gt;$H24," (evidence aged)",""),""))</f>
        <v/>
      </c>
      <c r="O24" s="17" t="s">
        <v>261</v>
      </c>
      <c r="P24" s="36" t="n">
        <v>0</v>
      </c>
      <c r="Q24" s="36" t="n">
        <v>0</v>
      </c>
      <c r="R24" s="36" t="n">
        <v>1</v>
      </c>
      <c r="S24" s="24" t="n">
        <f aca="false">IF($G24="",0,1)</f>
        <v>0</v>
      </c>
      <c r="T24" s="35" t="n">
        <f aca="false">IF($G24="",0,$G24)</f>
        <v>0</v>
      </c>
      <c r="U24" s="35" t="n">
        <f aca="false">IF($G24="",0,MIN($G24,$L24))</f>
        <v>0</v>
      </c>
    </row>
    <row r="25" customFormat="false" ht="33.75" hidden="false" customHeight="true" outlineLevel="0" collapsed="false">
      <c r="A25" s="8" t="s">
        <v>233</v>
      </c>
      <c r="B25" s="30" t="n">
        <v>16</v>
      </c>
      <c r="C25" s="34" t="s">
        <v>262</v>
      </c>
      <c r="D25" s="8" t="s">
        <v>263</v>
      </c>
      <c r="E25" s="30" t="n">
        <v>8</v>
      </c>
      <c r="F25" s="17" t="s">
        <v>264</v>
      </c>
      <c r="G25" s="20"/>
      <c r="H25" s="20"/>
      <c r="I25" s="20"/>
      <c r="J25" s="9"/>
      <c r="K25" s="18" t="str">
        <f aca="false">IF($H25="","",IF($H25&lt;&gt;"VC3 — Repeatably validated",$H25,IF(OR($I25="",'1 Context'!$C$7="",NOT(ISNUMBER(DATEVALUE(TEXT($I25,"yyyy-mm-dd"))))),"VC2 — Implemented and tested",IF(DATEDIF(DATEVALUE(TEXT($I25,"yyyy-mm-dd")),'1 Context'!$C$7,"m")&gt;12,"VC2 — Implemented and tested",$H25))))</f>
        <v/>
      </c>
      <c r="L25" s="24" t="n">
        <f aca="false">IF($K25="",1,IFERROR(INDEX(Reference!$C$15:$C$18,MATCH($K25,Reference!$B$15:$B$18,0)),1))</f>
        <v>1</v>
      </c>
      <c r="M25" s="35" t="str">
        <f aca="false">IF($G25="","",MIN($G25,$L25))</f>
        <v/>
      </c>
      <c r="N25" s="18" t="str">
        <f aca="false">IF($G25="","",IF($M25&lt;$G25,"capped "&amp;TEXT($G25,"0")&amp;" to "&amp;TEXT($M25,"0")&amp;IF($K25&lt;&gt;$H25," (evidence aged)",""),""))</f>
        <v/>
      </c>
      <c r="O25" s="17" t="s">
        <v>265</v>
      </c>
      <c r="P25" s="36" t="n">
        <v>0</v>
      </c>
      <c r="Q25" s="36" t="n">
        <v>0</v>
      </c>
      <c r="R25" s="36" t="n">
        <v>0</v>
      </c>
      <c r="S25" s="24" t="n">
        <f aca="false">IF($G25="",0,1)</f>
        <v>0</v>
      </c>
      <c r="T25" s="35" t="n">
        <f aca="false">IF($G25="",0,$G25)</f>
        <v>0</v>
      </c>
      <c r="U25" s="35" t="n">
        <f aca="false">IF($G25="",0,MIN($G25,$L25))</f>
        <v>0</v>
      </c>
    </row>
    <row r="26" customFormat="false" ht="33.75" hidden="false" customHeight="true" outlineLevel="0" collapsed="false">
      <c r="A26" s="8" t="s">
        <v>233</v>
      </c>
      <c r="B26" s="30" t="n">
        <v>16</v>
      </c>
      <c r="C26" s="34" t="s">
        <v>266</v>
      </c>
      <c r="D26" s="8" t="s">
        <v>267</v>
      </c>
      <c r="E26" s="30" t="n">
        <v>8</v>
      </c>
      <c r="F26" s="17" t="s">
        <v>268</v>
      </c>
      <c r="G26" s="20"/>
      <c r="H26" s="20"/>
      <c r="I26" s="20"/>
      <c r="J26" s="9"/>
      <c r="K26" s="18" t="str">
        <f aca="false">IF($H26="","",IF($H26&lt;&gt;"VC3 — Repeatably validated",$H26,IF(OR($I26="",'1 Context'!$C$7="",NOT(ISNUMBER(DATEVALUE(TEXT($I26,"yyyy-mm-dd"))))),"VC2 — Implemented and tested",IF(DATEDIF(DATEVALUE(TEXT($I26,"yyyy-mm-dd")),'1 Context'!$C$7,"m")&gt;12,"VC2 — Implemented and tested",$H26))))</f>
        <v/>
      </c>
      <c r="L26" s="24" t="n">
        <f aca="false">IF($K26="",1,IFERROR(INDEX(Reference!$C$15:$C$18,MATCH($K26,Reference!$B$15:$B$18,0)),1))</f>
        <v>1</v>
      </c>
      <c r="M26" s="35" t="str">
        <f aca="false">IF($G26="","",MIN($G26,$L26))</f>
        <v/>
      </c>
      <c r="N26" s="18" t="str">
        <f aca="false">IF($G26="","",IF($M26&lt;$G26,"capped "&amp;TEXT($G26,"0")&amp;" to "&amp;TEXT($M26,"0")&amp;IF($K26&lt;&gt;$H26," (evidence aged)",""),""))</f>
        <v/>
      </c>
      <c r="O26" s="17" t="s">
        <v>269</v>
      </c>
      <c r="P26" s="36" t="n">
        <v>1</v>
      </c>
      <c r="Q26" s="36" t="n">
        <v>1</v>
      </c>
      <c r="R26" s="36" t="n">
        <v>0</v>
      </c>
      <c r="S26" s="24" t="n">
        <f aca="false">IF($G26="",0,1)</f>
        <v>0</v>
      </c>
      <c r="T26" s="35" t="n">
        <f aca="false">IF($G26="",0,$G26)</f>
        <v>0</v>
      </c>
      <c r="U26" s="35" t="n">
        <f aca="false">IF($G26="",0,MIN($G26,$L26))</f>
        <v>0</v>
      </c>
    </row>
    <row r="27" customFormat="false" ht="33.75" hidden="false" customHeight="true" outlineLevel="0" collapsed="false">
      <c r="A27" s="8" t="s">
        <v>233</v>
      </c>
      <c r="B27" s="30" t="n">
        <v>16</v>
      </c>
      <c r="C27" s="34" t="s">
        <v>270</v>
      </c>
      <c r="D27" s="8" t="s">
        <v>271</v>
      </c>
      <c r="E27" s="30" t="n">
        <v>7</v>
      </c>
      <c r="F27" s="17" t="s">
        <v>272</v>
      </c>
      <c r="G27" s="20"/>
      <c r="H27" s="20"/>
      <c r="I27" s="20"/>
      <c r="J27" s="9"/>
      <c r="K27" s="18" t="str">
        <f aca="false">IF($H27="","",IF($H27&lt;&gt;"VC3 — Repeatably validated",$H27,IF(OR($I27="",'1 Context'!$C$7="",NOT(ISNUMBER(DATEVALUE(TEXT($I27,"yyyy-mm-dd"))))),"VC2 — Implemented and tested",IF(DATEDIF(DATEVALUE(TEXT($I27,"yyyy-mm-dd")),'1 Context'!$C$7,"m")&gt;12,"VC2 — Implemented and tested",$H27))))</f>
        <v/>
      </c>
      <c r="L27" s="24" t="n">
        <f aca="false">IF($K27="",1,IFERROR(INDEX(Reference!$C$15:$C$18,MATCH($K27,Reference!$B$15:$B$18,0)),1))</f>
        <v>1</v>
      </c>
      <c r="M27" s="35" t="str">
        <f aca="false">IF($G27="","",MIN($G27,$L27))</f>
        <v/>
      </c>
      <c r="N27" s="18" t="str">
        <f aca="false">IF($G27="","",IF($M27&lt;$G27,"capped "&amp;TEXT($G27,"0")&amp;" to "&amp;TEXT($M27,"0")&amp;IF($K27&lt;&gt;$H27," (evidence aged)",""),""))</f>
        <v/>
      </c>
      <c r="O27" s="17" t="s">
        <v>273</v>
      </c>
      <c r="P27" s="36" t="n">
        <v>0</v>
      </c>
      <c r="Q27" s="36" t="n">
        <v>0</v>
      </c>
      <c r="R27" s="36" t="n">
        <v>0</v>
      </c>
      <c r="S27" s="24" t="n">
        <f aca="false">IF($G27="",0,1)</f>
        <v>0</v>
      </c>
      <c r="T27" s="35" t="n">
        <f aca="false">IF($G27="",0,$G27)</f>
        <v>0</v>
      </c>
      <c r="U27" s="35" t="n">
        <f aca="false">IF($G27="",0,MIN($G27,$L27))</f>
        <v>0</v>
      </c>
    </row>
    <row r="28" customFormat="false" ht="33.75" hidden="false" customHeight="true" outlineLevel="0" collapsed="false">
      <c r="A28" s="8" t="s">
        <v>274</v>
      </c>
      <c r="B28" s="30" t="n">
        <v>14</v>
      </c>
      <c r="C28" s="34" t="s">
        <v>275</v>
      </c>
      <c r="D28" s="8" t="s">
        <v>276</v>
      </c>
      <c r="E28" s="30" t="n">
        <v>16</v>
      </c>
      <c r="F28" s="17" t="s">
        <v>277</v>
      </c>
      <c r="G28" s="20"/>
      <c r="H28" s="20"/>
      <c r="I28" s="20"/>
      <c r="J28" s="9"/>
      <c r="K28" s="18" t="str">
        <f aca="false">IF($H28="","",IF($H28&lt;&gt;"VC3 — Repeatably validated",$H28,IF(OR($I28="",'1 Context'!$C$7="",NOT(ISNUMBER(DATEVALUE(TEXT($I28,"yyyy-mm-dd"))))),"VC2 — Implemented and tested",IF(DATEDIF(DATEVALUE(TEXT($I28,"yyyy-mm-dd")),'1 Context'!$C$7,"m")&gt;12,"VC2 — Implemented and tested",$H28))))</f>
        <v/>
      </c>
      <c r="L28" s="24" t="n">
        <f aca="false">IF($K28="",1,IFERROR(INDEX(Reference!$C$15:$C$18,MATCH($K28,Reference!$B$15:$B$18,0)),1))</f>
        <v>1</v>
      </c>
      <c r="M28" s="35" t="str">
        <f aca="false">IF($G28="","",MIN($G28,$L28))</f>
        <v/>
      </c>
      <c r="N28" s="18" t="str">
        <f aca="false">IF($G28="","",IF($M28&lt;$G28,"capped "&amp;TEXT($G28,"0")&amp;" to "&amp;TEXT($M28,"0")&amp;IF($K28&lt;&gt;$H28," (evidence aged)",""),""))</f>
        <v/>
      </c>
      <c r="O28" s="17" t="s">
        <v>278</v>
      </c>
      <c r="P28" s="36" t="n">
        <v>2</v>
      </c>
      <c r="Q28" s="36" t="n">
        <v>0</v>
      </c>
      <c r="R28" s="36" t="n">
        <v>0</v>
      </c>
      <c r="S28" s="24" t="n">
        <f aca="false">IF($G28="",0,1)</f>
        <v>0</v>
      </c>
      <c r="T28" s="35" t="n">
        <f aca="false">IF($G28="",0,$G28)</f>
        <v>0</v>
      </c>
      <c r="U28" s="35" t="n">
        <f aca="false">IF($G28="",0,MIN($G28,$L28))</f>
        <v>0</v>
      </c>
    </row>
    <row r="29" customFormat="false" ht="33.75" hidden="false" customHeight="true" outlineLevel="0" collapsed="false">
      <c r="A29" s="8" t="s">
        <v>274</v>
      </c>
      <c r="B29" s="30" t="n">
        <v>14</v>
      </c>
      <c r="C29" s="34" t="s">
        <v>279</v>
      </c>
      <c r="D29" s="8" t="s">
        <v>280</v>
      </c>
      <c r="E29" s="30" t="n">
        <v>14</v>
      </c>
      <c r="F29" s="17" t="s">
        <v>281</v>
      </c>
      <c r="G29" s="20"/>
      <c r="H29" s="20"/>
      <c r="I29" s="20"/>
      <c r="J29" s="9"/>
      <c r="K29" s="18" t="str">
        <f aca="false">IF($H29="","",IF($H29&lt;&gt;"VC3 — Repeatably validated",$H29,IF(OR($I29="",'1 Context'!$C$7="",NOT(ISNUMBER(DATEVALUE(TEXT($I29,"yyyy-mm-dd"))))),"VC2 — Implemented and tested",IF(DATEDIF(DATEVALUE(TEXT($I29,"yyyy-mm-dd")),'1 Context'!$C$7,"m")&gt;12,"VC2 — Implemented and tested",$H29))))</f>
        <v/>
      </c>
      <c r="L29" s="24" t="n">
        <f aca="false">IF($K29="",1,IFERROR(INDEX(Reference!$C$15:$C$18,MATCH($K29,Reference!$B$15:$B$18,0)),1))</f>
        <v>1</v>
      </c>
      <c r="M29" s="35" t="str">
        <f aca="false">IF($G29="","",MIN($G29,$L29))</f>
        <v/>
      </c>
      <c r="N29" s="18" t="str">
        <f aca="false">IF($G29="","",IF($M29&lt;$G29,"capped "&amp;TEXT($G29,"0")&amp;" to "&amp;TEXT($M29,"0")&amp;IF($K29&lt;&gt;$H29," (evidence aged)",""),""))</f>
        <v/>
      </c>
      <c r="O29" s="17" t="s">
        <v>282</v>
      </c>
      <c r="P29" s="36" t="n">
        <v>2</v>
      </c>
      <c r="Q29" s="36" t="n">
        <v>0</v>
      </c>
      <c r="R29" s="36" t="n">
        <v>0</v>
      </c>
      <c r="S29" s="24" t="n">
        <f aca="false">IF($G29="",0,1)</f>
        <v>0</v>
      </c>
      <c r="T29" s="35" t="n">
        <f aca="false">IF($G29="",0,$G29)</f>
        <v>0</v>
      </c>
      <c r="U29" s="35" t="n">
        <f aca="false">IF($G29="",0,MIN($G29,$L29))</f>
        <v>0</v>
      </c>
    </row>
    <row r="30" customFormat="false" ht="33.75" hidden="false" customHeight="true" outlineLevel="0" collapsed="false">
      <c r="A30" s="8" t="s">
        <v>274</v>
      </c>
      <c r="B30" s="30" t="n">
        <v>14</v>
      </c>
      <c r="C30" s="34" t="s">
        <v>283</v>
      </c>
      <c r="D30" s="8" t="s">
        <v>284</v>
      </c>
      <c r="E30" s="30" t="n">
        <v>14</v>
      </c>
      <c r="F30" s="17" t="s">
        <v>285</v>
      </c>
      <c r="G30" s="20"/>
      <c r="H30" s="20"/>
      <c r="I30" s="20"/>
      <c r="J30" s="9"/>
      <c r="K30" s="18" t="str">
        <f aca="false">IF($H30="","",IF($H30&lt;&gt;"VC3 — Repeatably validated",$H30,IF(OR($I30="",'1 Context'!$C$7="",NOT(ISNUMBER(DATEVALUE(TEXT($I30,"yyyy-mm-dd"))))),"VC2 — Implemented and tested",IF(DATEDIF(DATEVALUE(TEXT($I30,"yyyy-mm-dd")),'1 Context'!$C$7,"m")&gt;12,"VC2 — Implemented and tested",$H30))))</f>
        <v/>
      </c>
      <c r="L30" s="24" t="n">
        <f aca="false">IF($K30="",1,IFERROR(INDEX(Reference!$C$15:$C$18,MATCH($K30,Reference!$B$15:$B$18,0)),1))</f>
        <v>1</v>
      </c>
      <c r="M30" s="35" t="str">
        <f aca="false">IF($G30="","",MIN($G30,$L30))</f>
        <v/>
      </c>
      <c r="N30" s="18" t="str">
        <f aca="false">IF($G30="","",IF($M30&lt;$G30,"capped "&amp;TEXT($G30,"0")&amp;" to "&amp;TEXT($M30,"0")&amp;IF($K30&lt;&gt;$H30," (evidence aged)",""),""))</f>
        <v/>
      </c>
      <c r="O30" s="17" t="s">
        <v>286</v>
      </c>
      <c r="P30" s="36" t="n">
        <v>2</v>
      </c>
      <c r="Q30" s="36" t="n">
        <v>0</v>
      </c>
      <c r="R30" s="36" t="n">
        <v>0</v>
      </c>
      <c r="S30" s="24" t="n">
        <f aca="false">IF($G30="",0,1)</f>
        <v>0</v>
      </c>
      <c r="T30" s="35" t="n">
        <f aca="false">IF($G30="",0,$G30)</f>
        <v>0</v>
      </c>
      <c r="U30" s="35" t="n">
        <f aca="false">IF($G30="",0,MIN($G30,$L30))</f>
        <v>0</v>
      </c>
    </row>
    <row r="31" customFormat="false" ht="33.75" hidden="false" customHeight="true" outlineLevel="0" collapsed="false">
      <c r="A31" s="8" t="s">
        <v>274</v>
      </c>
      <c r="B31" s="30" t="n">
        <v>14</v>
      </c>
      <c r="C31" s="34" t="s">
        <v>287</v>
      </c>
      <c r="D31" s="8" t="s">
        <v>288</v>
      </c>
      <c r="E31" s="30" t="n">
        <v>10</v>
      </c>
      <c r="F31" s="17" t="s">
        <v>289</v>
      </c>
      <c r="G31" s="20"/>
      <c r="H31" s="20"/>
      <c r="I31" s="20"/>
      <c r="J31" s="9"/>
      <c r="K31" s="18" t="str">
        <f aca="false">IF($H31="","",IF($H31&lt;&gt;"VC3 — Repeatably validated",$H31,IF(OR($I31="",'1 Context'!$C$7="",NOT(ISNUMBER(DATEVALUE(TEXT($I31,"yyyy-mm-dd"))))),"VC2 — Implemented and tested",IF(DATEDIF(DATEVALUE(TEXT($I31,"yyyy-mm-dd")),'1 Context'!$C$7,"m")&gt;12,"VC2 — Implemented and tested",$H31))))</f>
        <v/>
      </c>
      <c r="L31" s="24" t="n">
        <f aca="false">IF($K31="",1,IFERROR(INDEX(Reference!$C$15:$C$18,MATCH($K31,Reference!$B$15:$B$18,0)),1))</f>
        <v>1</v>
      </c>
      <c r="M31" s="35" t="str">
        <f aca="false">IF($G31="","",MIN($G31,$L31))</f>
        <v/>
      </c>
      <c r="N31" s="18" t="str">
        <f aca="false">IF($G31="","",IF($M31&lt;$G31,"capped "&amp;TEXT($G31,"0")&amp;" to "&amp;TEXT($M31,"0")&amp;IF($K31&lt;&gt;$H31," (evidence aged)",""),""))</f>
        <v/>
      </c>
      <c r="O31" s="17" t="s">
        <v>290</v>
      </c>
      <c r="P31" s="36" t="n">
        <v>1</v>
      </c>
      <c r="Q31" s="36" t="n">
        <v>0</v>
      </c>
      <c r="R31" s="36" t="n">
        <v>0</v>
      </c>
      <c r="S31" s="24" t="n">
        <f aca="false">IF($G31="",0,1)</f>
        <v>0</v>
      </c>
      <c r="T31" s="35" t="n">
        <f aca="false">IF($G31="",0,$G31)</f>
        <v>0</v>
      </c>
      <c r="U31" s="35" t="n">
        <f aca="false">IF($G31="",0,MIN($G31,$L31))</f>
        <v>0</v>
      </c>
    </row>
    <row r="32" customFormat="false" ht="33.75" hidden="false" customHeight="true" outlineLevel="0" collapsed="false">
      <c r="A32" s="8" t="s">
        <v>274</v>
      </c>
      <c r="B32" s="30" t="n">
        <v>14</v>
      </c>
      <c r="C32" s="34" t="s">
        <v>291</v>
      </c>
      <c r="D32" s="8" t="s">
        <v>292</v>
      </c>
      <c r="E32" s="30" t="n">
        <v>14</v>
      </c>
      <c r="F32" s="17" t="s">
        <v>293</v>
      </c>
      <c r="G32" s="20"/>
      <c r="H32" s="20"/>
      <c r="I32" s="20"/>
      <c r="J32" s="9"/>
      <c r="K32" s="18" t="str">
        <f aca="false">IF($H32="","",IF($H32&lt;&gt;"VC3 — Repeatably validated",$H32,IF(OR($I32="",'1 Context'!$C$7="",NOT(ISNUMBER(DATEVALUE(TEXT($I32,"yyyy-mm-dd"))))),"VC2 — Implemented and tested",IF(DATEDIF(DATEVALUE(TEXT($I32,"yyyy-mm-dd")),'1 Context'!$C$7,"m")&gt;12,"VC2 — Implemented and tested",$H32))))</f>
        <v/>
      </c>
      <c r="L32" s="24" t="n">
        <f aca="false">IF($K32="",1,IFERROR(INDEX(Reference!$C$15:$C$18,MATCH($K32,Reference!$B$15:$B$18,0)),1))</f>
        <v>1</v>
      </c>
      <c r="M32" s="35" t="str">
        <f aca="false">IF($G32="","",MIN($G32,$L32))</f>
        <v/>
      </c>
      <c r="N32" s="18" t="str">
        <f aca="false">IF($G32="","",IF($M32&lt;$G32,"capped "&amp;TEXT($G32,"0")&amp;" to "&amp;TEXT($M32,"0")&amp;IF($K32&lt;&gt;$H32," (evidence aged)",""),""))</f>
        <v/>
      </c>
      <c r="O32" s="17" t="s">
        <v>294</v>
      </c>
      <c r="P32" s="36" t="n">
        <v>0</v>
      </c>
      <c r="Q32" s="36" t="n">
        <v>2</v>
      </c>
      <c r="R32" s="36" t="n">
        <v>0</v>
      </c>
      <c r="S32" s="24" t="n">
        <f aca="false">IF($G32="",0,1)</f>
        <v>0</v>
      </c>
      <c r="T32" s="35" t="n">
        <f aca="false">IF($G32="",0,$G32)</f>
        <v>0</v>
      </c>
      <c r="U32" s="35" t="n">
        <f aca="false">IF($G32="",0,MIN($G32,$L32))</f>
        <v>0</v>
      </c>
    </row>
    <row r="33" customFormat="false" ht="33.75" hidden="false" customHeight="true" outlineLevel="0" collapsed="false">
      <c r="A33" s="8" t="s">
        <v>274</v>
      </c>
      <c r="B33" s="30" t="n">
        <v>14</v>
      </c>
      <c r="C33" s="34" t="s">
        <v>295</v>
      </c>
      <c r="D33" s="8" t="s">
        <v>296</v>
      </c>
      <c r="E33" s="30" t="n">
        <v>12</v>
      </c>
      <c r="F33" s="17" t="s">
        <v>297</v>
      </c>
      <c r="G33" s="20"/>
      <c r="H33" s="20"/>
      <c r="I33" s="20"/>
      <c r="J33" s="9"/>
      <c r="K33" s="18" t="str">
        <f aca="false">IF($H33="","",IF($H33&lt;&gt;"VC3 — Repeatably validated",$H33,IF(OR($I33="",'1 Context'!$C$7="",NOT(ISNUMBER(DATEVALUE(TEXT($I33,"yyyy-mm-dd"))))),"VC2 — Implemented and tested",IF(DATEDIF(DATEVALUE(TEXT($I33,"yyyy-mm-dd")),'1 Context'!$C$7,"m")&gt;12,"VC2 — Implemented and tested",$H33))))</f>
        <v/>
      </c>
      <c r="L33" s="24" t="n">
        <f aca="false">IF($K33="",1,IFERROR(INDEX(Reference!$C$15:$C$18,MATCH($K33,Reference!$B$15:$B$18,0)),1))</f>
        <v>1</v>
      </c>
      <c r="M33" s="35" t="str">
        <f aca="false">IF($G33="","",MIN($G33,$L33))</f>
        <v/>
      </c>
      <c r="N33" s="18" t="str">
        <f aca="false">IF($G33="","",IF($M33&lt;$G33,"capped "&amp;TEXT($G33,"0")&amp;" to "&amp;TEXT($M33,"0")&amp;IF($K33&lt;&gt;$H33," (evidence aged)",""),""))</f>
        <v/>
      </c>
      <c r="O33" s="17" t="s">
        <v>298</v>
      </c>
      <c r="P33" s="36" t="n">
        <v>0</v>
      </c>
      <c r="Q33" s="36" t="n">
        <v>2</v>
      </c>
      <c r="R33" s="36" t="n">
        <v>0</v>
      </c>
      <c r="S33" s="24" t="n">
        <f aca="false">IF($G33="",0,1)</f>
        <v>0</v>
      </c>
      <c r="T33" s="35" t="n">
        <f aca="false">IF($G33="",0,$G33)</f>
        <v>0</v>
      </c>
      <c r="U33" s="35" t="n">
        <f aca="false">IF($G33="",0,MIN($G33,$L33))</f>
        <v>0</v>
      </c>
    </row>
    <row r="34" customFormat="false" ht="33.75" hidden="false" customHeight="true" outlineLevel="0" collapsed="false">
      <c r="A34" s="8" t="s">
        <v>274</v>
      </c>
      <c r="B34" s="30" t="n">
        <v>14</v>
      </c>
      <c r="C34" s="34" t="s">
        <v>299</v>
      </c>
      <c r="D34" s="8" t="s">
        <v>300</v>
      </c>
      <c r="E34" s="30" t="n">
        <v>10</v>
      </c>
      <c r="F34" s="17" t="s">
        <v>301</v>
      </c>
      <c r="G34" s="20"/>
      <c r="H34" s="20"/>
      <c r="I34" s="20"/>
      <c r="J34" s="9"/>
      <c r="K34" s="18" t="str">
        <f aca="false">IF($H34="","",IF($H34&lt;&gt;"VC3 — Repeatably validated",$H34,IF(OR($I34="",'1 Context'!$C$7="",NOT(ISNUMBER(DATEVALUE(TEXT($I34,"yyyy-mm-dd"))))),"VC2 — Implemented and tested",IF(DATEDIF(DATEVALUE(TEXT($I34,"yyyy-mm-dd")),'1 Context'!$C$7,"m")&gt;12,"VC2 — Implemented and tested",$H34))))</f>
        <v/>
      </c>
      <c r="L34" s="24" t="n">
        <f aca="false">IF($K34="",1,IFERROR(INDEX(Reference!$C$15:$C$18,MATCH($K34,Reference!$B$15:$B$18,0)),1))</f>
        <v>1</v>
      </c>
      <c r="M34" s="35" t="str">
        <f aca="false">IF($G34="","",MIN($G34,$L34))</f>
        <v/>
      </c>
      <c r="N34" s="18" t="str">
        <f aca="false">IF($G34="","",IF($M34&lt;$G34,"capped "&amp;TEXT($G34,"0")&amp;" to "&amp;TEXT($M34,"0")&amp;IF($K34&lt;&gt;$H34," (evidence aged)",""),""))</f>
        <v/>
      </c>
      <c r="O34" s="17" t="s">
        <v>302</v>
      </c>
      <c r="P34" s="36" t="n">
        <v>0</v>
      </c>
      <c r="Q34" s="36" t="n">
        <v>2</v>
      </c>
      <c r="R34" s="36" t="n">
        <v>2</v>
      </c>
      <c r="S34" s="24" t="n">
        <f aca="false">IF($G34="",0,1)</f>
        <v>0</v>
      </c>
      <c r="T34" s="35" t="n">
        <f aca="false">IF($G34="",0,$G34)</f>
        <v>0</v>
      </c>
      <c r="U34" s="35" t="n">
        <f aca="false">IF($G34="",0,MIN($G34,$L34))</f>
        <v>0</v>
      </c>
    </row>
    <row r="35" customFormat="false" ht="33.75" hidden="false" customHeight="true" outlineLevel="0" collapsed="false">
      <c r="A35" s="8" t="s">
        <v>274</v>
      </c>
      <c r="B35" s="30" t="n">
        <v>14</v>
      </c>
      <c r="C35" s="34" t="s">
        <v>303</v>
      </c>
      <c r="D35" s="8" t="s">
        <v>304</v>
      </c>
      <c r="E35" s="30" t="n">
        <v>10</v>
      </c>
      <c r="F35" s="17" t="s">
        <v>305</v>
      </c>
      <c r="G35" s="20"/>
      <c r="H35" s="20"/>
      <c r="I35" s="20"/>
      <c r="J35" s="9"/>
      <c r="K35" s="18" t="str">
        <f aca="false">IF($H35="","",IF($H35&lt;&gt;"VC3 — Repeatably validated",$H35,IF(OR($I35="",'1 Context'!$C$7="",NOT(ISNUMBER(DATEVALUE(TEXT($I35,"yyyy-mm-dd"))))),"VC2 — Implemented and tested",IF(DATEDIF(DATEVALUE(TEXT($I35,"yyyy-mm-dd")),'1 Context'!$C$7,"m")&gt;12,"VC2 — Implemented and tested",$H35))))</f>
        <v/>
      </c>
      <c r="L35" s="24" t="n">
        <f aca="false">IF($K35="",1,IFERROR(INDEX(Reference!$C$15:$C$18,MATCH($K35,Reference!$B$15:$B$18,0)),1))</f>
        <v>1</v>
      </c>
      <c r="M35" s="35" t="str">
        <f aca="false">IF($G35="","",MIN($G35,$L35))</f>
        <v/>
      </c>
      <c r="N35" s="18" t="str">
        <f aca="false">IF($G35="","",IF($M35&lt;$G35,"capped "&amp;TEXT($G35,"0")&amp;" to "&amp;TEXT($M35,"0")&amp;IF($K35&lt;&gt;$H35," (evidence aged)",""),""))</f>
        <v/>
      </c>
      <c r="O35" s="17" t="s">
        <v>306</v>
      </c>
      <c r="P35" s="36" t="n">
        <v>0</v>
      </c>
      <c r="Q35" s="36" t="n">
        <v>1</v>
      </c>
      <c r="R35" s="36" t="n">
        <v>2</v>
      </c>
      <c r="S35" s="24" t="n">
        <f aca="false">IF($G35="",0,1)</f>
        <v>0</v>
      </c>
      <c r="T35" s="35" t="n">
        <f aca="false">IF($G35="",0,$G35)</f>
        <v>0</v>
      </c>
      <c r="U35" s="35" t="n">
        <f aca="false">IF($G35="",0,MIN($G35,$L35))</f>
        <v>0</v>
      </c>
    </row>
    <row r="36" customFormat="false" ht="33.75" hidden="false" customHeight="true" outlineLevel="0" collapsed="false">
      <c r="A36" s="8" t="s">
        <v>307</v>
      </c>
      <c r="B36" s="30" t="n">
        <v>12</v>
      </c>
      <c r="C36" s="34" t="s">
        <v>308</v>
      </c>
      <c r="D36" s="8" t="s">
        <v>309</v>
      </c>
      <c r="E36" s="30" t="n">
        <v>14</v>
      </c>
      <c r="F36" s="17" t="s">
        <v>310</v>
      </c>
      <c r="G36" s="20"/>
      <c r="H36" s="20"/>
      <c r="I36" s="20"/>
      <c r="J36" s="9"/>
      <c r="K36" s="18" t="str">
        <f aca="false">IF($H36="","",IF($H36&lt;&gt;"VC3 — Repeatably validated",$H36,IF(OR($I36="",'1 Context'!$C$7="",NOT(ISNUMBER(DATEVALUE(TEXT($I36,"yyyy-mm-dd"))))),"VC2 — Implemented and tested",IF(DATEDIF(DATEVALUE(TEXT($I36,"yyyy-mm-dd")),'1 Context'!$C$7,"m")&gt;12,"VC2 — Implemented and tested",$H36))))</f>
        <v/>
      </c>
      <c r="L36" s="24" t="n">
        <f aca="false">IF($K36="",1,IFERROR(INDEX(Reference!$C$15:$C$18,MATCH($K36,Reference!$B$15:$B$18,0)),1))</f>
        <v>1</v>
      </c>
      <c r="M36" s="35" t="str">
        <f aca="false">IF($G36="","",MIN($G36,$L36))</f>
        <v/>
      </c>
      <c r="N36" s="18" t="str">
        <f aca="false">IF($G36="","",IF($M36&lt;$G36,"capped "&amp;TEXT($G36,"0")&amp;" to "&amp;TEXT($M36,"0")&amp;IF($K36&lt;&gt;$H36," (evidence aged)",""),""))</f>
        <v/>
      </c>
      <c r="O36" s="17" t="s">
        <v>311</v>
      </c>
      <c r="P36" s="36" t="n">
        <v>1</v>
      </c>
      <c r="Q36" s="36" t="n">
        <v>0</v>
      </c>
      <c r="R36" s="36" t="n">
        <v>0</v>
      </c>
      <c r="S36" s="24" t="n">
        <f aca="false">IF($G36="",0,1)</f>
        <v>0</v>
      </c>
      <c r="T36" s="35" t="n">
        <f aca="false">IF($G36="",0,$G36)</f>
        <v>0</v>
      </c>
      <c r="U36" s="35" t="n">
        <f aca="false">IF($G36="",0,MIN($G36,$L36))</f>
        <v>0</v>
      </c>
    </row>
    <row r="37" customFormat="false" ht="33.75" hidden="false" customHeight="true" outlineLevel="0" collapsed="false">
      <c r="A37" s="8" t="s">
        <v>307</v>
      </c>
      <c r="B37" s="30" t="n">
        <v>12</v>
      </c>
      <c r="C37" s="34" t="s">
        <v>312</v>
      </c>
      <c r="D37" s="8" t="s">
        <v>313</v>
      </c>
      <c r="E37" s="30" t="n">
        <v>20</v>
      </c>
      <c r="F37" s="17" t="s">
        <v>314</v>
      </c>
      <c r="G37" s="20"/>
      <c r="H37" s="20"/>
      <c r="I37" s="20"/>
      <c r="J37" s="9"/>
      <c r="K37" s="18" t="str">
        <f aca="false">IF($H37="","",IF($H37&lt;&gt;"VC3 — Repeatably validated",$H37,IF(OR($I37="",'1 Context'!$C$7="",NOT(ISNUMBER(DATEVALUE(TEXT($I37,"yyyy-mm-dd"))))),"VC2 — Implemented and tested",IF(DATEDIF(DATEVALUE(TEXT($I37,"yyyy-mm-dd")),'1 Context'!$C$7,"m")&gt;12,"VC2 — Implemented and tested",$H37))))</f>
        <v/>
      </c>
      <c r="L37" s="24" t="n">
        <f aca="false">IF($K37="",1,IFERROR(INDEX(Reference!$C$15:$C$18,MATCH($K37,Reference!$B$15:$B$18,0)),1))</f>
        <v>1</v>
      </c>
      <c r="M37" s="35" t="str">
        <f aca="false">IF($G37="","",MIN($G37,$L37))</f>
        <v/>
      </c>
      <c r="N37" s="18" t="str">
        <f aca="false">IF($G37="","",IF($M37&lt;$G37,"capped "&amp;TEXT($G37,"0")&amp;" to "&amp;TEXT($M37,"0")&amp;IF($K37&lt;&gt;$H37," (evidence aged)",""),""))</f>
        <v/>
      </c>
      <c r="O37" s="17" t="s">
        <v>315</v>
      </c>
      <c r="P37" s="36" t="n">
        <v>2</v>
      </c>
      <c r="Q37" s="36" t="n">
        <v>0</v>
      </c>
      <c r="R37" s="36" t="n">
        <v>0</v>
      </c>
      <c r="S37" s="24" t="n">
        <f aca="false">IF($G37="",0,1)</f>
        <v>0</v>
      </c>
      <c r="T37" s="35" t="n">
        <f aca="false">IF($G37="",0,$G37)</f>
        <v>0</v>
      </c>
      <c r="U37" s="35" t="n">
        <f aca="false">IF($G37="",0,MIN($G37,$L37))</f>
        <v>0</v>
      </c>
    </row>
    <row r="38" customFormat="false" ht="33.75" hidden="false" customHeight="true" outlineLevel="0" collapsed="false">
      <c r="A38" s="8" t="s">
        <v>307</v>
      </c>
      <c r="B38" s="30" t="n">
        <v>12</v>
      </c>
      <c r="C38" s="34" t="s">
        <v>316</v>
      </c>
      <c r="D38" s="8" t="s">
        <v>317</v>
      </c>
      <c r="E38" s="30" t="n">
        <v>14</v>
      </c>
      <c r="F38" s="17" t="s">
        <v>318</v>
      </c>
      <c r="G38" s="20"/>
      <c r="H38" s="20"/>
      <c r="I38" s="20"/>
      <c r="J38" s="9"/>
      <c r="K38" s="18" t="str">
        <f aca="false">IF($H38="","",IF($H38&lt;&gt;"VC3 — Repeatably validated",$H38,IF(OR($I38="",'1 Context'!$C$7="",NOT(ISNUMBER(DATEVALUE(TEXT($I38,"yyyy-mm-dd"))))),"VC2 — Implemented and tested",IF(DATEDIF(DATEVALUE(TEXT($I38,"yyyy-mm-dd")),'1 Context'!$C$7,"m")&gt;12,"VC2 — Implemented and tested",$H38))))</f>
        <v/>
      </c>
      <c r="L38" s="24" t="n">
        <f aca="false">IF($K38="",1,IFERROR(INDEX(Reference!$C$15:$C$18,MATCH($K38,Reference!$B$15:$B$18,0)),1))</f>
        <v>1</v>
      </c>
      <c r="M38" s="35" t="str">
        <f aca="false">IF($G38="","",MIN($G38,$L38))</f>
        <v/>
      </c>
      <c r="N38" s="18" t="str">
        <f aca="false">IF($G38="","",IF($M38&lt;$G38,"capped "&amp;TEXT($G38,"0")&amp;" to "&amp;TEXT($M38,"0")&amp;IF($K38&lt;&gt;$H38," (evidence aged)",""),""))</f>
        <v/>
      </c>
      <c r="O38" s="17" t="s">
        <v>319</v>
      </c>
      <c r="P38" s="36" t="n">
        <v>1</v>
      </c>
      <c r="Q38" s="36" t="n">
        <v>0</v>
      </c>
      <c r="R38" s="36" t="n">
        <v>0</v>
      </c>
      <c r="S38" s="24" t="n">
        <f aca="false">IF($G38="",0,1)</f>
        <v>0</v>
      </c>
      <c r="T38" s="35" t="n">
        <f aca="false">IF($G38="",0,$G38)</f>
        <v>0</v>
      </c>
      <c r="U38" s="35" t="n">
        <f aca="false">IF($G38="",0,MIN($G38,$L38))</f>
        <v>0</v>
      </c>
    </row>
    <row r="39" customFormat="false" ht="33.75" hidden="false" customHeight="true" outlineLevel="0" collapsed="false">
      <c r="A39" s="8" t="s">
        <v>307</v>
      </c>
      <c r="B39" s="30" t="n">
        <v>12</v>
      </c>
      <c r="C39" s="34" t="s">
        <v>320</v>
      </c>
      <c r="D39" s="8" t="s">
        <v>321</v>
      </c>
      <c r="E39" s="30" t="n">
        <v>14</v>
      </c>
      <c r="F39" s="17" t="s">
        <v>322</v>
      </c>
      <c r="G39" s="20"/>
      <c r="H39" s="20"/>
      <c r="I39" s="20"/>
      <c r="J39" s="9"/>
      <c r="K39" s="18" t="str">
        <f aca="false">IF($H39="","",IF($H39&lt;&gt;"VC3 — Repeatably validated",$H39,IF(OR($I39="",'1 Context'!$C$7="",NOT(ISNUMBER(DATEVALUE(TEXT($I39,"yyyy-mm-dd"))))),"VC2 — Implemented and tested",IF(DATEDIF(DATEVALUE(TEXT($I39,"yyyy-mm-dd")),'1 Context'!$C$7,"m")&gt;12,"VC2 — Implemented and tested",$H39))))</f>
        <v/>
      </c>
      <c r="L39" s="24" t="n">
        <f aca="false">IF($K39="",1,IFERROR(INDEX(Reference!$C$15:$C$18,MATCH($K39,Reference!$B$15:$B$18,0)),1))</f>
        <v>1</v>
      </c>
      <c r="M39" s="35" t="str">
        <f aca="false">IF($G39="","",MIN($G39,$L39))</f>
        <v/>
      </c>
      <c r="N39" s="18" t="str">
        <f aca="false">IF($G39="","",IF($M39&lt;$G39,"capped "&amp;TEXT($G39,"0")&amp;" to "&amp;TEXT($M39,"0")&amp;IF($K39&lt;&gt;$H39," (evidence aged)",""),""))</f>
        <v/>
      </c>
      <c r="O39" s="17" t="s">
        <v>323</v>
      </c>
      <c r="P39" s="36" t="n">
        <v>1</v>
      </c>
      <c r="Q39" s="36" t="n">
        <v>0</v>
      </c>
      <c r="R39" s="36" t="n">
        <v>0</v>
      </c>
      <c r="S39" s="24" t="n">
        <f aca="false">IF($G39="",0,1)</f>
        <v>0</v>
      </c>
      <c r="T39" s="35" t="n">
        <f aca="false">IF($G39="",0,$G39)</f>
        <v>0</v>
      </c>
      <c r="U39" s="35" t="n">
        <f aca="false">IF($G39="",0,MIN($G39,$L39))</f>
        <v>0</v>
      </c>
    </row>
    <row r="40" customFormat="false" ht="33.75" hidden="false" customHeight="true" outlineLevel="0" collapsed="false">
      <c r="A40" s="8" t="s">
        <v>307</v>
      </c>
      <c r="B40" s="30" t="n">
        <v>12</v>
      </c>
      <c r="C40" s="34" t="s">
        <v>324</v>
      </c>
      <c r="D40" s="8" t="s">
        <v>325</v>
      </c>
      <c r="E40" s="30" t="n">
        <v>14</v>
      </c>
      <c r="F40" s="17" t="s">
        <v>326</v>
      </c>
      <c r="G40" s="20"/>
      <c r="H40" s="20"/>
      <c r="I40" s="20"/>
      <c r="J40" s="9"/>
      <c r="K40" s="18" t="str">
        <f aca="false">IF($H40="","",IF($H40&lt;&gt;"VC3 — Repeatably validated",$H40,IF(OR($I40="",'1 Context'!$C$7="",NOT(ISNUMBER(DATEVALUE(TEXT($I40,"yyyy-mm-dd"))))),"VC2 — Implemented and tested",IF(DATEDIF(DATEVALUE(TEXT($I40,"yyyy-mm-dd")),'1 Context'!$C$7,"m")&gt;12,"VC2 — Implemented and tested",$H40))))</f>
        <v/>
      </c>
      <c r="L40" s="24" t="n">
        <f aca="false">IF($K40="",1,IFERROR(INDEX(Reference!$C$15:$C$18,MATCH($K40,Reference!$B$15:$B$18,0)),1))</f>
        <v>1</v>
      </c>
      <c r="M40" s="35" t="str">
        <f aca="false">IF($G40="","",MIN($G40,$L40))</f>
        <v/>
      </c>
      <c r="N40" s="18" t="str">
        <f aca="false">IF($G40="","",IF($M40&lt;$G40,"capped "&amp;TEXT($G40,"0")&amp;" to "&amp;TEXT($M40,"0")&amp;IF($K40&lt;&gt;$H40," (evidence aged)",""),""))</f>
        <v/>
      </c>
      <c r="O40" s="17" t="s">
        <v>327</v>
      </c>
      <c r="P40" s="36" t="n">
        <v>0</v>
      </c>
      <c r="Q40" s="36" t="n">
        <v>0</v>
      </c>
      <c r="R40" s="36" t="n">
        <v>1</v>
      </c>
      <c r="S40" s="24" t="n">
        <f aca="false">IF($G40="",0,1)</f>
        <v>0</v>
      </c>
      <c r="T40" s="35" t="n">
        <f aca="false">IF($G40="",0,$G40)</f>
        <v>0</v>
      </c>
      <c r="U40" s="35" t="n">
        <f aca="false">IF($G40="",0,MIN($G40,$L40))</f>
        <v>0</v>
      </c>
    </row>
    <row r="41" customFormat="false" ht="33.75" hidden="false" customHeight="true" outlineLevel="0" collapsed="false">
      <c r="A41" s="8" t="s">
        <v>307</v>
      </c>
      <c r="B41" s="30" t="n">
        <v>12</v>
      </c>
      <c r="C41" s="34" t="s">
        <v>328</v>
      </c>
      <c r="D41" s="8" t="s">
        <v>329</v>
      </c>
      <c r="E41" s="30" t="n">
        <v>14</v>
      </c>
      <c r="F41" s="17" t="s">
        <v>330</v>
      </c>
      <c r="G41" s="20"/>
      <c r="H41" s="20"/>
      <c r="I41" s="20"/>
      <c r="J41" s="9"/>
      <c r="K41" s="18" t="str">
        <f aca="false">IF($H41="","",IF($H41&lt;&gt;"VC3 — Repeatably validated",$H41,IF(OR($I41="",'1 Context'!$C$7="",NOT(ISNUMBER(DATEVALUE(TEXT($I41,"yyyy-mm-dd"))))),"VC2 — Implemented and tested",IF(DATEDIF(DATEVALUE(TEXT($I41,"yyyy-mm-dd")),'1 Context'!$C$7,"m")&gt;12,"VC2 — Implemented and tested",$H41))))</f>
        <v/>
      </c>
      <c r="L41" s="24" t="n">
        <f aca="false">IF($K41="",1,IFERROR(INDEX(Reference!$C$15:$C$18,MATCH($K41,Reference!$B$15:$B$18,0)),1))</f>
        <v>1</v>
      </c>
      <c r="M41" s="35" t="str">
        <f aca="false">IF($G41="","",MIN($G41,$L41))</f>
        <v/>
      </c>
      <c r="N41" s="18" t="str">
        <f aca="false">IF($G41="","",IF($M41&lt;$G41,"capped "&amp;TEXT($G41,"0")&amp;" to "&amp;TEXT($M41,"0")&amp;IF($K41&lt;&gt;$H41," (evidence aged)",""),""))</f>
        <v/>
      </c>
      <c r="O41" s="17" t="s">
        <v>331</v>
      </c>
      <c r="P41" s="36" t="n">
        <v>1</v>
      </c>
      <c r="Q41" s="36" t="n">
        <v>0</v>
      </c>
      <c r="R41" s="36" t="n">
        <v>0</v>
      </c>
      <c r="S41" s="24" t="n">
        <f aca="false">IF($G41="",0,1)</f>
        <v>0</v>
      </c>
      <c r="T41" s="35" t="n">
        <f aca="false">IF($G41="",0,$G41)</f>
        <v>0</v>
      </c>
      <c r="U41" s="35" t="n">
        <f aca="false">IF($G41="",0,MIN($G41,$L41))</f>
        <v>0</v>
      </c>
    </row>
    <row r="42" customFormat="false" ht="33.75" hidden="false" customHeight="true" outlineLevel="0" collapsed="false">
      <c r="A42" s="8" t="s">
        <v>307</v>
      </c>
      <c r="B42" s="30" t="n">
        <v>12</v>
      </c>
      <c r="C42" s="34" t="s">
        <v>332</v>
      </c>
      <c r="D42" s="8" t="s">
        <v>333</v>
      </c>
      <c r="E42" s="30" t="n">
        <v>10</v>
      </c>
      <c r="F42" s="17" t="s">
        <v>334</v>
      </c>
      <c r="G42" s="20"/>
      <c r="H42" s="20"/>
      <c r="I42" s="20"/>
      <c r="J42" s="9"/>
      <c r="K42" s="18" t="str">
        <f aca="false">IF($H42="","",IF($H42&lt;&gt;"VC3 — Repeatably validated",$H42,IF(OR($I42="",'1 Context'!$C$7="",NOT(ISNUMBER(DATEVALUE(TEXT($I42,"yyyy-mm-dd"))))),"VC2 — Implemented and tested",IF(DATEDIF(DATEVALUE(TEXT($I42,"yyyy-mm-dd")),'1 Context'!$C$7,"m")&gt;12,"VC2 — Implemented and tested",$H42))))</f>
        <v/>
      </c>
      <c r="L42" s="24" t="n">
        <f aca="false">IF($K42="",1,IFERROR(INDEX(Reference!$C$15:$C$18,MATCH($K42,Reference!$B$15:$B$18,0)),1))</f>
        <v>1</v>
      </c>
      <c r="M42" s="35" t="str">
        <f aca="false">IF($G42="","",MIN($G42,$L42))</f>
        <v/>
      </c>
      <c r="N42" s="18" t="str">
        <f aca="false">IF($G42="","",IF($M42&lt;$G42,"capped "&amp;TEXT($G42,"0")&amp;" to "&amp;TEXT($M42,"0")&amp;IF($K42&lt;&gt;$H42," (evidence aged)",""),""))</f>
        <v/>
      </c>
      <c r="O42" s="17" t="s">
        <v>335</v>
      </c>
      <c r="P42" s="36" t="n">
        <v>0</v>
      </c>
      <c r="Q42" s="36" t="n">
        <v>0</v>
      </c>
      <c r="R42" s="36" t="n">
        <v>0</v>
      </c>
      <c r="S42" s="24" t="n">
        <f aca="false">IF($G42="",0,1)</f>
        <v>0</v>
      </c>
      <c r="T42" s="35" t="n">
        <f aca="false">IF($G42="",0,$G42)</f>
        <v>0</v>
      </c>
      <c r="U42" s="35" t="n">
        <f aca="false">IF($G42="",0,MIN($G42,$L42))</f>
        <v>0</v>
      </c>
    </row>
    <row r="43" customFormat="false" ht="33.75" hidden="false" customHeight="true" outlineLevel="0" collapsed="false">
      <c r="A43" s="8" t="s">
        <v>336</v>
      </c>
      <c r="B43" s="30" t="n">
        <v>10</v>
      </c>
      <c r="C43" s="34" t="s">
        <v>337</v>
      </c>
      <c r="D43" s="8" t="s">
        <v>338</v>
      </c>
      <c r="E43" s="30" t="n">
        <v>22</v>
      </c>
      <c r="F43" s="17" t="s">
        <v>339</v>
      </c>
      <c r="G43" s="20"/>
      <c r="H43" s="20"/>
      <c r="I43" s="20"/>
      <c r="J43" s="9"/>
      <c r="K43" s="18" t="str">
        <f aca="false">IF($H43="","",IF($H43&lt;&gt;"VC3 — Repeatably validated",$H43,IF(OR($I43="",'1 Context'!$C$7="",NOT(ISNUMBER(DATEVALUE(TEXT($I43,"yyyy-mm-dd"))))),"VC2 — Implemented and tested",IF(DATEDIF(DATEVALUE(TEXT($I43,"yyyy-mm-dd")),'1 Context'!$C$7,"m")&gt;12,"VC2 — Implemented and tested",$H43))))</f>
        <v/>
      </c>
      <c r="L43" s="24" t="n">
        <f aca="false">IF($K43="",1,IFERROR(INDEX(Reference!$C$15:$C$18,MATCH($K43,Reference!$B$15:$B$18,0)),1))</f>
        <v>1</v>
      </c>
      <c r="M43" s="35" t="str">
        <f aca="false">IF($G43="","",MIN($G43,$L43))</f>
        <v/>
      </c>
      <c r="N43" s="18" t="str">
        <f aca="false">IF($G43="","",IF($M43&lt;$G43,"capped "&amp;TEXT($G43,"0")&amp;" to "&amp;TEXT($M43,"0")&amp;IF($K43&lt;&gt;$H43," (evidence aged)",""),""))</f>
        <v/>
      </c>
      <c r="O43" s="17" t="s">
        <v>340</v>
      </c>
      <c r="P43" s="36" t="n">
        <v>2</v>
      </c>
      <c r="Q43" s="36" t="n">
        <v>1</v>
      </c>
      <c r="R43" s="36" t="n">
        <v>0</v>
      </c>
      <c r="S43" s="24" t="n">
        <f aca="false">IF($G43="",0,1)</f>
        <v>0</v>
      </c>
      <c r="T43" s="35" t="n">
        <f aca="false">IF($G43="",0,$G43)</f>
        <v>0</v>
      </c>
      <c r="U43" s="35" t="n">
        <f aca="false">IF($G43="",0,MIN($G43,$L43))</f>
        <v>0</v>
      </c>
    </row>
    <row r="44" customFormat="false" ht="33.75" hidden="false" customHeight="true" outlineLevel="0" collapsed="false">
      <c r="A44" s="8" t="s">
        <v>336</v>
      </c>
      <c r="B44" s="30" t="n">
        <v>10</v>
      </c>
      <c r="C44" s="34" t="s">
        <v>341</v>
      </c>
      <c r="D44" s="8" t="s">
        <v>342</v>
      </c>
      <c r="E44" s="30" t="n">
        <v>18</v>
      </c>
      <c r="F44" s="17" t="s">
        <v>343</v>
      </c>
      <c r="G44" s="20"/>
      <c r="H44" s="20"/>
      <c r="I44" s="20"/>
      <c r="J44" s="9"/>
      <c r="K44" s="18" t="str">
        <f aca="false">IF($H44="","",IF($H44&lt;&gt;"VC3 — Repeatably validated",$H44,IF(OR($I44="",'1 Context'!$C$7="",NOT(ISNUMBER(DATEVALUE(TEXT($I44,"yyyy-mm-dd"))))),"VC2 — Implemented and tested",IF(DATEDIF(DATEVALUE(TEXT($I44,"yyyy-mm-dd")),'1 Context'!$C$7,"m")&gt;12,"VC2 — Implemented and tested",$H44))))</f>
        <v/>
      </c>
      <c r="L44" s="24" t="n">
        <f aca="false">IF($K44="",1,IFERROR(INDEX(Reference!$C$15:$C$18,MATCH($K44,Reference!$B$15:$B$18,0)),1))</f>
        <v>1</v>
      </c>
      <c r="M44" s="35" t="str">
        <f aca="false">IF($G44="","",MIN($G44,$L44))</f>
        <v/>
      </c>
      <c r="N44" s="18" t="str">
        <f aca="false">IF($G44="","",IF($M44&lt;$G44,"capped "&amp;TEXT($G44,"0")&amp;" to "&amp;TEXT($M44,"0")&amp;IF($K44&lt;&gt;$H44," (evidence aged)",""),""))</f>
        <v/>
      </c>
      <c r="O44" s="17" t="s">
        <v>344</v>
      </c>
      <c r="P44" s="36" t="n">
        <v>1</v>
      </c>
      <c r="Q44" s="36" t="n">
        <v>0</v>
      </c>
      <c r="R44" s="36" t="n">
        <v>0</v>
      </c>
      <c r="S44" s="24" t="n">
        <f aca="false">IF($G44="",0,1)</f>
        <v>0</v>
      </c>
      <c r="T44" s="35" t="n">
        <f aca="false">IF($G44="",0,$G44)</f>
        <v>0</v>
      </c>
      <c r="U44" s="35" t="n">
        <f aca="false">IF($G44="",0,MIN($G44,$L44))</f>
        <v>0</v>
      </c>
    </row>
    <row r="45" customFormat="false" ht="33.75" hidden="false" customHeight="true" outlineLevel="0" collapsed="false">
      <c r="A45" s="8" t="s">
        <v>336</v>
      </c>
      <c r="B45" s="30" t="n">
        <v>10</v>
      </c>
      <c r="C45" s="34" t="s">
        <v>345</v>
      </c>
      <c r="D45" s="8" t="s">
        <v>346</v>
      </c>
      <c r="E45" s="30" t="n">
        <v>15</v>
      </c>
      <c r="F45" s="17" t="s">
        <v>347</v>
      </c>
      <c r="G45" s="20"/>
      <c r="H45" s="20"/>
      <c r="I45" s="20"/>
      <c r="J45" s="9"/>
      <c r="K45" s="18" t="str">
        <f aca="false">IF($H45="","",IF($H45&lt;&gt;"VC3 — Repeatably validated",$H45,IF(OR($I45="",'1 Context'!$C$7="",NOT(ISNUMBER(DATEVALUE(TEXT($I45,"yyyy-mm-dd"))))),"VC2 — Implemented and tested",IF(DATEDIF(DATEVALUE(TEXT($I45,"yyyy-mm-dd")),'1 Context'!$C$7,"m")&gt;12,"VC2 — Implemented and tested",$H45))))</f>
        <v/>
      </c>
      <c r="L45" s="24" t="n">
        <f aca="false">IF($K45="",1,IFERROR(INDEX(Reference!$C$15:$C$18,MATCH($K45,Reference!$B$15:$B$18,0)),1))</f>
        <v>1</v>
      </c>
      <c r="M45" s="35" t="str">
        <f aca="false">IF($G45="","",MIN($G45,$L45))</f>
        <v/>
      </c>
      <c r="N45" s="18" t="str">
        <f aca="false">IF($G45="","",IF($M45&lt;$G45,"capped "&amp;TEXT($G45,"0")&amp;" to "&amp;TEXT($M45,"0")&amp;IF($K45&lt;&gt;$H45," (evidence aged)",""),""))</f>
        <v/>
      </c>
      <c r="O45" s="17" t="s">
        <v>348</v>
      </c>
      <c r="P45" s="36" t="n">
        <v>0</v>
      </c>
      <c r="Q45" s="36" t="n">
        <v>1</v>
      </c>
      <c r="R45" s="36" t="n">
        <v>0</v>
      </c>
      <c r="S45" s="24" t="n">
        <f aca="false">IF($G45="",0,1)</f>
        <v>0</v>
      </c>
      <c r="T45" s="35" t="n">
        <f aca="false">IF($G45="",0,$G45)</f>
        <v>0</v>
      </c>
      <c r="U45" s="35" t="n">
        <f aca="false">IF($G45="",0,MIN($G45,$L45))</f>
        <v>0</v>
      </c>
    </row>
    <row r="46" customFormat="false" ht="33.75" hidden="false" customHeight="true" outlineLevel="0" collapsed="false">
      <c r="A46" s="8" t="s">
        <v>336</v>
      </c>
      <c r="B46" s="30" t="n">
        <v>10</v>
      </c>
      <c r="C46" s="34" t="s">
        <v>349</v>
      </c>
      <c r="D46" s="8" t="s">
        <v>350</v>
      </c>
      <c r="E46" s="30" t="n">
        <v>15</v>
      </c>
      <c r="F46" s="17" t="s">
        <v>351</v>
      </c>
      <c r="G46" s="20"/>
      <c r="H46" s="20"/>
      <c r="I46" s="20"/>
      <c r="J46" s="9"/>
      <c r="K46" s="18" t="str">
        <f aca="false">IF($H46="","",IF($H46&lt;&gt;"VC3 — Repeatably validated",$H46,IF(OR($I46="",'1 Context'!$C$7="",NOT(ISNUMBER(DATEVALUE(TEXT($I46,"yyyy-mm-dd"))))),"VC2 — Implemented and tested",IF(DATEDIF(DATEVALUE(TEXT($I46,"yyyy-mm-dd")),'1 Context'!$C$7,"m")&gt;12,"VC2 — Implemented and tested",$H46))))</f>
        <v/>
      </c>
      <c r="L46" s="24" t="n">
        <f aca="false">IF($K46="",1,IFERROR(INDEX(Reference!$C$15:$C$18,MATCH($K46,Reference!$B$15:$B$18,0)),1))</f>
        <v>1</v>
      </c>
      <c r="M46" s="35" t="str">
        <f aca="false">IF($G46="","",MIN($G46,$L46))</f>
        <v/>
      </c>
      <c r="N46" s="18" t="str">
        <f aca="false">IF($G46="","",IF($M46&lt;$G46,"capped "&amp;TEXT($G46,"0")&amp;" to "&amp;TEXT($M46,"0")&amp;IF($K46&lt;&gt;$H46," (evidence aged)",""),""))</f>
        <v/>
      </c>
      <c r="O46" s="17" t="s">
        <v>352</v>
      </c>
      <c r="P46" s="36" t="n">
        <v>1</v>
      </c>
      <c r="Q46" s="36" t="n">
        <v>0</v>
      </c>
      <c r="R46" s="36" t="n">
        <v>0</v>
      </c>
      <c r="S46" s="24" t="n">
        <f aca="false">IF($G46="",0,1)</f>
        <v>0</v>
      </c>
      <c r="T46" s="35" t="n">
        <f aca="false">IF($G46="",0,$G46)</f>
        <v>0</v>
      </c>
      <c r="U46" s="35" t="n">
        <f aca="false">IF($G46="",0,MIN($G46,$L46))</f>
        <v>0</v>
      </c>
    </row>
    <row r="47" customFormat="false" ht="33.75" hidden="false" customHeight="true" outlineLevel="0" collapsed="false">
      <c r="A47" s="8" t="s">
        <v>336</v>
      </c>
      <c r="B47" s="30" t="n">
        <v>10</v>
      </c>
      <c r="C47" s="34" t="s">
        <v>353</v>
      </c>
      <c r="D47" s="8" t="s">
        <v>354</v>
      </c>
      <c r="E47" s="30" t="n">
        <v>15</v>
      </c>
      <c r="F47" s="17" t="s">
        <v>355</v>
      </c>
      <c r="G47" s="20"/>
      <c r="H47" s="20"/>
      <c r="I47" s="20"/>
      <c r="J47" s="9"/>
      <c r="K47" s="18" t="str">
        <f aca="false">IF($H47="","",IF($H47&lt;&gt;"VC3 — Repeatably validated",$H47,IF(OR($I47="",'1 Context'!$C$7="",NOT(ISNUMBER(DATEVALUE(TEXT($I47,"yyyy-mm-dd"))))),"VC2 — Implemented and tested",IF(DATEDIF(DATEVALUE(TEXT($I47,"yyyy-mm-dd")),'1 Context'!$C$7,"m")&gt;12,"VC2 — Implemented and tested",$H47))))</f>
        <v/>
      </c>
      <c r="L47" s="24" t="n">
        <f aca="false">IF($K47="",1,IFERROR(INDEX(Reference!$C$15:$C$18,MATCH($K47,Reference!$B$15:$B$18,0)),1))</f>
        <v>1</v>
      </c>
      <c r="M47" s="35" t="str">
        <f aca="false">IF($G47="","",MIN($G47,$L47))</f>
        <v/>
      </c>
      <c r="N47" s="18" t="str">
        <f aca="false">IF($G47="","",IF($M47&lt;$G47,"capped "&amp;TEXT($G47,"0")&amp;" to "&amp;TEXT($M47,"0")&amp;IF($K47&lt;&gt;$H47," (evidence aged)",""),""))</f>
        <v/>
      </c>
      <c r="O47" s="17" t="s">
        <v>356</v>
      </c>
      <c r="P47" s="36" t="n">
        <v>0</v>
      </c>
      <c r="Q47" s="36" t="n">
        <v>1</v>
      </c>
      <c r="R47" s="36" t="n">
        <v>0</v>
      </c>
      <c r="S47" s="24" t="n">
        <f aca="false">IF($G47="",0,1)</f>
        <v>0</v>
      </c>
      <c r="T47" s="35" t="n">
        <f aca="false">IF($G47="",0,$G47)</f>
        <v>0</v>
      </c>
      <c r="U47" s="35" t="n">
        <f aca="false">IF($G47="",0,MIN($G47,$L47))</f>
        <v>0</v>
      </c>
    </row>
    <row r="48" customFormat="false" ht="33.75" hidden="false" customHeight="true" outlineLevel="0" collapsed="false">
      <c r="A48" s="8" t="s">
        <v>336</v>
      </c>
      <c r="B48" s="30" t="n">
        <v>10</v>
      </c>
      <c r="C48" s="34" t="s">
        <v>357</v>
      </c>
      <c r="D48" s="8" t="s">
        <v>358</v>
      </c>
      <c r="E48" s="30" t="n">
        <v>15</v>
      </c>
      <c r="F48" s="17" t="s">
        <v>359</v>
      </c>
      <c r="G48" s="20"/>
      <c r="H48" s="20"/>
      <c r="I48" s="20"/>
      <c r="J48" s="9"/>
      <c r="K48" s="18" t="str">
        <f aca="false">IF($H48="","",IF($H48&lt;&gt;"VC3 — Repeatably validated",$H48,IF(OR($I48="",'1 Context'!$C$7="",NOT(ISNUMBER(DATEVALUE(TEXT($I48,"yyyy-mm-dd"))))),"VC2 — Implemented and tested",IF(DATEDIF(DATEVALUE(TEXT($I48,"yyyy-mm-dd")),'1 Context'!$C$7,"m")&gt;12,"VC2 — Implemented and tested",$H48))))</f>
        <v/>
      </c>
      <c r="L48" s="24" t="n">
        <f aca="false">IF($K48="",1,IFERROR(INDEX(Reference!$C$15:$C$18,MATCH($K48,Reference!$B$15:$B$18,0)),1))</f>
        <v>1</v>
      </c>
      <c r="M48" s="35" t="str">
        <f aca="false">IF($G48="","",MIN($G48,$L48))</f>
        <v/>
      </c>
      <c r="N48" s="18" t="str">
        <f aca="false">IF($G48="","",IF($M48&lt;$G48,"capped "&amp;TEXT($G48,"0")&amp;" to "&amp;TEXT($M48,"0")&amp;IF($K48&lt;&gt;$H48," (evidence aged)",""),""))</f>
        <v/>
      </c>
      <c r="O48" s="17" t="s">
        <v>360</v>
      </c>
      <c r="P48" s="36" t="n">
        <v>0</v>
      </c>
      <c r="Q48" s="36" t="n">
        <v>1</v>
      </c>
      <c r="R48" s="36" t="n">
        <v>0</v>
      </c>
      <c r="S48" s="24" t="n">
        <f aca="false">IF($G48="",0,1)</f>
        <v>0</v>
      </c>
      <c r="T48" s="35" t="n">
        <f aca="false">IF($G48="",0,$G48)</f>
        <v>0</v>
      </c>
      <c r="U48" s="35" t="n">
        <f aca="false">IF($G48="",0,MIN($G48,$L48))</f>
        <v>0</v>
      </c>
    </row>
    <row r="49" customFormat="false" ht="33.75" hidden="false" customHeight="true" outlineLevel="0" collapsed="false">
      <c r="A49" s="8" t="s">
        <v>361</v>
      </c>
      <c r="B49" s="30" t="n">
        <v>14</v>
      </c>
      <c r="C49" s="34" t="s">
        <v>362</v>
      </c>
      <c r="D49" s="8" t="s">
        <v>363</v>
      </c>
      <c r="E49" s="30" t="n">
        <v>12</v>
      </c>
      <c r="F49" s="17" t="s">
        <v>364</v>
      </c>
      <c r="G49" s="20"/>
      <c r="H49" s="20"/>
      <c r="I49" s="20"/>
      <c r="J49" s="9"/>
      <c r="K49" s="18" t="str">
        <f aca="false">IF($H49="","",IF($H49&lt;&gt;"VC3 — Repeatably validated",$H49,IF(OR($I49="",'1 Context'!$C$7="",NOT(ISNUMBER(DATEVALUE(TEXT($I49,"yyyy-mm-dd"))))),"VC2 — Implemented and tested",IF(DATEDIF(DATEVALUE(TEXT($I49,"yyyy-mm-dd")),'1 Context'!$C$7,"m")&gt;12,"VC2 — Implemented and tested",$H49))))</f>
        <v/>
      </c>
      <c r="L49" s="24" t="n">
        <f aca="false">IF($K49="",1,IFERROR(INDEX(Reference!$C$15:$C$18,MATCH($K49,Reference!$B$15:$B$18,0)),1))</f>
        <v>1</v>
      </c>
      <c r="M49" s="35" t="str">
        <f aca="false">IF($G49="","",MIN($G49,$L49))</f>
        <v/>
      </c>
      <c r="N49" s="18" t="str">
        <f aca="false">IF($G49="","",IF($M49&lt;$G49,"capped "&amp;TEXT($G49,"0")&amp;" to "&amp;TEXT($M49,"0")&amp;IF($K49&lt;&gt;$H49," (evidence aged)",""),""))</f>
        <v/>
      </c>
      <c r="O49" s="17" t="s">
        <v>365</v>
      </c>
      <c r="P49" s="36" t="n">
        <v>0</v>
      </c>
      <c r="Q49" s="36" t="n">
        <v>0</v>
      </c>
      <c r="R49" s="36" t="n">
        <v>1</v>
      </c>
      <c r="S49" s="24" t="n">
        <f aca="false">IF($G49="",0,1)</f>
        <v>0</v>
      </c>
      <c r="T49" s="35" t="n">
        <f aca="false">IF($G49="",0,$G49)</f>
        <v>0</v>
      </c>
      <c r="U49" s="35" t="n">
        <f aca="false">IF($G49="",0,MIN($G49,$L49))</f>
        <v>0</v>
      </c>
    </row>
    <row r="50" customFormat="false" ht="33.75" hidden="false" customHeight="true" outlineLevel="0" collapsed="false">
      <c r="A50" s="8" t="s">
        <v>361</v>
      </c>
      <c r="B50" s="30" t="n">
        <v>14</v>
      </c>
      <c r="C50" s="34" t="s">
        <v>366</v>
      </c>
      <c r="D50" s="8" t="s">
        <v>367</v>
      </c>
      <c r="E50" s="30" t="n">
        <v>22</v>
      </c>
      <c r="F50" s="17" t="s">
        <v>368</v>
      </c>
      <c r="G50" s="20"/>
      <c r="H50" s="20"/>
      <c r="I50" s="20"/>
      <c r="J50" s="9"/>
      <c r="K50" s="18" t="str">
        <f aca="false">IF($H50="","",IF($H50&lt;&gt;"VC3 — Repeatably validated",$H50,IF(OR($I50="",'1 Context'!$C$7="",NOT(ISNUMBER(DATEVALUE(TEXT($I50,"yyyy-mm-dd"))))),"VC2 — Implemented and tested",IF(DATEDIF(DATEVALUE(TEXT($I50,"yyyy-mm-dd")),'1 Context'!$C$7,"m")&gt;12,"VC2 — Implemented and tested",$H50))))</f>
        <v/>
      </c>
      <c r="L50" s="24" t="n">
        <f aca="false">IF($K50="",1,IFERROR(INDEX(Reference!$C$15:$C$18,MATCH($K50,Reference!$B$15:$B$18,0)),1))</f>
        <v>1</v>
      </c>
      <c r="M50" s="35" t="str">
        <f aca="false">IF($G50="","",MIN($G50,$L50))</f>
        <v/>
      </c>
      <c r="N50" s="18" t="str">
        <f aca="false">IF($G50="","",IF($M50&lt;$G50,"capped "&amp;TEXT($G50,"0")&amp;" to "&amp;TEXT($M50,"0")&amp;IF($K50&lt;&gt;$H50," (evidence aged)",""),""))</f>
        <v/>
      </c>
      <c r="O50" s="17" t="s">
        <v>369</v>
      </c>
      <c r="P50" s="36" t="n">
        <v>0</v>
      </c>
      <c r="Q50" s="36" t="n">
        <v>0</v>
      </c>
      <c r="R50" s="36" t="n">
        <v>0</v>
      </c>
      <c r="S50" s="24" t="n">
        <f aca="false">IF($G50="",0,1)</f>
        <v>0</v>
      </c>
      <c r="T50" s="35" t="n">
        <f aca="false">IF($G50="",0,$G50)</f>
        <v>0</v>
      </c>
      <c r="U50" s="35" t="n">
        <f aca="false">IF($G50="",0,MIN($G50,$L50))</f>
        <v>0</v>
      </c>
    </row>
    <row r="51" customFormat="false" ht="33.75" hidden="false" customHeight="true" outlineLevel="0" collapsed="false">
      <c r="A51" s="8" t="s">
        <v>361</v>
      </c>
      <c r="B51" s="30" t="n">
        <v>14</v>
      </c>
      <c r="C51" s="34" t="s">
        <v>370</v>
      </c>
      <c r="D51" s="8" t="s">
        <v>371</v>
      </c>
      <c r="E51" s="30" t="n">
        <v>18</v>
      </c>
      <c r="F51" s="17" t="s">
        <v>372</v>
      </c>
      <c r="G51" s="20"/>
      <c r="H51" s="20"/>
      <c r="I51" s="20"/>
      <c r="J51" s="9"/>
      <c r="K51" s="18" t="str">
        <f aca="false">IF($H51="","",IF($H51&lt;&gt;"VC3 — Repeatably validated",$H51,IF(OR($I51="",'1 Context'!$C$7="",NOT(ISNUMBER(DATEVALUE(TEXT($I51,"yyyy-mm-dd"))))),"VC2 — Implemented and tested",IF(DATEDIF(DATEVALUE(TEXT($I51,"yyyy-mm-dd")),'1 Context'!$C$7,"m")&gt;12,"VC2 — Implemented and tested",$H51))))</f>
        <v/>
      </c>
      <c r="L51" s="24" t="n">
        <f aca="false">IF($K51="",1,IFERROR(INDEX(Reference!$C$15:$C$18,MATCH($K51,Reference!$B$15:$B$18,0)),1))</f>
        <v>1</v>
      </c>
      <c r="M51" s="35" t="str">
        <f aca="false">IF($G51="","",MIN($G51,$L51))</f>
        <v/>
      </c>
      <c r="N51" s="18" t="str">
        <f aca="false">IF($G51="","",IF($M51&lt;$G51,"capped "&amp;TEXT($G51,"0")&amp;" to "&amp;TEXT($M51,"0")&amp;IF($K51&lt;&gt;$H51," (evidence aged)",""),""))</f>
        <v/>
      </c>
      <c r="O51" s="17" t="s">
        <v>373</v>
      </c>
      <c r="P51" s="36" t="n">
        <v>0</v>
      </c>
      <c r="Q51" s="36" t="n">
        <v>0</v>
      </c>
      <c r="R51" s="36" t="n">
        <v>1</v>
      </c>
      <c r="S51" s="24" t="n">
        <f aca="false">IF($G51="",0,1)</f>
        <v>0</v>
      </c>
      <c r="T51" s="35" t="n">
        <f aca="false">IF($G51="",0,$G51)</f>
        <v>0</v>
      </c>
      <c r="U51" s="35" t="n">
        <f aca="false">IF($G51="",0,MIN($G51,$L51))</f>
        <v>0</v>
      </c>
    </row>
    <row r="52" customFormat="false" ht="33.75" hidden="false" customHeight="true" outlineLevel="0" collapsed="false">
      <c r="A52" s="8" t="s">
        <v>361</v>
      </c>
      <c r="B52" s="30" t="n">
        <v>14</v>
      </c>
      <c r="C52" s="34" t="s">
        <v>374</v>
      </c>
      <c r="D52" s="8" t="s">
        <v>375</v>
      </c>
      <c r="E52" s="30" t="n">
        <v>16</v>
      </c>
      <c r="F52" s="17" t="s">
        <v>376</v>
      </c>
      <c r="G52" s="20"/>
      <c r="H52" s="20"/>
      <c r="I52" s="20"/>
      <c r="J52" s="9"/>
      <c r="K52" s="18" t="str">
        <f aca="false">IF($H52="","",IF($H52&lt;&gt;"VC3 — Repeatably validated",$H52,IF(OR($I52="",'1 Context'!$C$7="",NOT(ISNUMBER(DATEVALUE(TEXT($I52,"yyyy-mm-dd"))))),"VC2 — Implemented and tested",IF(DATEDIF(DATEVALUE(TEXT($I52,"yyyy-mm-dd")),'1 Context'!$C$7,"m")&gt;12,"VC2 — Implemented and tested",$H52))))</f>
        <v/>
      </c>
      <c r="L52" s="24" t="n">
        <f aca="false">IF($K52="",1,IFERROR(INDEX(Reference!$C$15:$C$18,MATCH($K52,Reference!$B$15:$B$18,0)),1))</f>
        <v>1</v>
      </c>
      <c r="M52" s="35" t="str">
        <f aca="false">IF($G52="","",MIN($G52,$L52))</f>
        <v/>
      </c>
      <c r="N52" s="18" t="str">
        <f aca="false">IF($G52="","",IF($M52&lt;$G52,"capped "&amp;TEXT($G52,"0")&amp;" to "&amp;TEXT($M52,"0")&amp;IF($K52&lt;&gt;$H52," (evidence aged)",""),""))</f>
        <v/>
      </c>
      <c r="O52" s="17" t="s">
        <v>377</v>
      </c>
      <c r="P52" s="36" t="n">
        <v>0</v>
      </c>
      <c r="Q52" s="36" t="n">
        <v>0</v>
      </c>
      <c r="R52" s="36" t="n">
        <v>0</v>
      </c>
      <c r="S52" s="24" t="n">
        <f aca="false">IF($G52="",0,1)</f>
        <v>0</v>
      </c>
      <c r="T52" s="35" t="n">
        <f aca="false">IF($G52="",0,$G52)</f>
        <v>0</v>
      </c>
      <c r="U52" s="35" t="n">
        <f aca="false">IF($G52="",0,MIN($G52,$L52))</f>
        <v>0</v>
      </c>
    </row>
    <row r="53" customFormat="false" ht="33.75" hidden="false" customHeight="true" outlineLevel="0" collapsed="false">
      <c r="A53" s="8" t="s">
        <v>361</v>
      </c>
      <c r="B53" s="30" t="n">
        <v>14</v>
      </c>
      <c r="C53" s="34" t="s">
        <v>378</v>
      </c>
      <c r="D53" s="8" t="s">
        <v>379</v>
      </c>
      <c r="E53" s="30" t="n">
        <v>12</v>
      </c>
      <c r="F53" s="17" t="s">
        <v>380</v>
      </c>
      <c r="G53" s="20"/>
      <c r="H53" s="20"/>
      <c r="I53" s="20"/>
      <c r="J53" s="9"/>
      <c r="K53" s="18" t="str">
        <f aca="false">IF($H53="","",IF($H53&lt;&gt;"VC3 — Repeatably validated",$H53,IF(OR($I53="",'1 Context'!$C$7="",NOT(ISNUMBER(DATEVALUE(TEXT($I53,"yyyy-mm-dd"))))),"VC2 — Implemented and tested",IF(DATEDIF(DATEVALUE(TEXT($I53,"yyyy-mm-dd")),'1 Context'!$C$7,"m")&gt;12,"VC2 — Implemented and tested",$H53))))</f>
        <v/>
      </c>
      <c r="L53" s="24" t="n">
        <f aca="false">IF($K53="",1,IFERROR(INDEX(Reference!$C$15:$C$18,MATCH($K53,Reference!$B$15:$B$18,0)),1))</f>
        <v>1</v>
      </c>
      <c r="M53" s="35" t="str">
        <f aca="false">IF($G53="","",MIN($G53,$L53))</f>
        <v/>
      </c>
      <c r="N53" s="18" t="str">
        <f aca="false">IF($G53="","",IF($M53&lt;$G53,"capped "&amp;TEXT($G53,"0")&amp;" to "&amp;TEXT($M53,"0")&amp;IF($K53&lt;&gt;$H53," (evidence aged)",""),""))</f>
        <v/>
      </c>
      <c r="O53" s="17" t="s">
        <v>381</v>
      </c>
      <c r="P53" s="36" t="n">
        <v>0</v>
      </c>
      <c r="Q53" s="36" t="n">
        <v>0</v>
      </c>
      <c r="R53" s="36" t="n">
        <v>0</v>
      </c>
      <c r="S53" s="24" t="n">
        <f aca="false">IF($G53="",0,1)</f>
        <v>0</v>
      </c>
      <c r="T53" s="35" t="n">
        <f aca="false">IF($G53="",0,$G53)</f>
        <v>0</v>
      </c>
      <c r="U53" s="35" t="n">
        <f aca="false">IF($G53="",0,MIN($G53,$L53))</f>
        <v>0</v>
      </c>
    </row>
    <row r="54" customFormat="false" ht="33.75" hidden="false" customHeight="true" outlineLevel="0" collapsed="false">
      <c r="A54" s="8" t="s">
        <v>361</v>
      </c>
      <c r="B54" s="30" t="n">
        <v>14</v>
      </c>
      <c r="C54" s="34" t="s">
        <v>382</v>
      </c>
      <c r="D54" s="8" t="s">
        <v>383</v>
      </c>
      <c r="E54" s="30" t="n">
        <v>10</v>
      </c>
      <c r="F54" s="17" t="s">
        <v>384</v>
      </c>
      <c r="G54" s="20"/>
      <c r="H54" s="20"/>
      <c r="I54" s="20"/>
      <c r="J54" s="9"/>
      <c r="K54" s="18" t="str">
        <f aca="false">IF($H54="","",IF($H54&lt;&gt;"VC3 — Repeatably validated",$H54,IF(OR($I54="",'1 Context'!$C$7="",NOT(ISNUMBER(DATEVALUE(TEXT($I54,"yyyy-mm-dd"))))),"VC2 — Implemented and tested",IF(DATEDIF(DATEVALUE(TEXT($I54,"yyyy-mm-dd")),'1 Context'!$C$7,"m")&gt;12,"VC2 — Implemented and tested",$H54))))</f>
        <v/>
      </c>
      <c r="L54" s="24" t="n">
        <f aca="false">IF($K54="",1,IFERROR(INDEX(Reference!$C$15:$C$18,MATCH($K54,Reference!$B$15:$B$18,0)),1))</f>
        <v>1</v>
      </c>
      <c r="M54" s="35" t="str">
        <f aca="false">IF($G54="","",MIN($G54,$L54))</f>
        <v/>
      </c>
      <c r="N54" s="18" t="str">
        <f aca="false">IF($G54="","",IF($M54&lt;$G54,"capped "&amp;TEXT($G54,"0")&amp;" to "&amp;TEXT($M54,"0")&amp;IF($K54&lt;&gt;$H54," (evidence aged)",""),""))</f>
        <v/>
      </c>
      <c r="O54" s="17" t="s">
        <v>385</v>
      </c>
      <c r="P54" s="36" t="n">
        <v>0</v>
      </c>
      <c r="Q54" s="36" t="n">
        <v>0</v>
      </c>
      <c r="R54" s="36" t="n">
        <v>2</v>
      </c>
      <c r="S54" s="24" t="n">
        <f aca="false">IF($G54="",0,1)</f>
        <v>0</v>
      </c>
      <c r="T54" s="35" t="n">
        <f aca="false">IF($G54="",0,$G54)</f>
        <v>0</v>
      </c>
      <c r="U54" s="35" t="n">
        <f aca="false">IF($G54="",0,MIN($G54,$L54))</f>
        <v>0</v>
      </c>
    </row>
    <row r="55" customFormat="false" ht="33.75" hidden="false" customHeight="true" outlineLevel="0" collapsed="false">
      <c r="A55" s="8" t="s">
        <v>361</v>
      </c>
      <c r="B55" s="30" t="n">
        <v>14</v>
      </c>
      <c r="C55" s="34" t="s">
        <v>386</v>
      </c>
      <c r="D55" s="8" t="s">
        <v>387</v>
      </c>
      <c r="E55" s="30" t="n">
        <v>10</v>
      </c>
      <c r="F55" s="17" t="s">
        <v>388</v>
      </c>
      <c r="G55" s="20"/>
      <c r="H55" s="20"/>
      <c r="I55" s="20"/>
      <c r="J55" s="9"/>
      <c r="K55" s="18" t="str">
        <f aca="false">IF($H55="","",IF($H55&lt;&gt;"VC3 — Repeatably validated",$H55,IF(OR($I55="",'1 Context'!$C$7="",NOT(ISNUMBER(DATEVALUE(TEXT($I55,"yyyy-mm-dd"))))),"VC2 — Implemented and tested",IF(DATEDIF(DATEVALUE(TEXT($I55,"yyyy-mm-dd")),'1 Context'!$C$7,"m")&gt;12,"VC2 — Implemented and tested",$H55))))</f>
        <v/>
      </c>
      <c r="L55" s="24" t="n">
        <f aca="false">IF($K55="",1,IFERROR(INDEX(Reference!$C$15:$C$18,MATCH($K55,Reference!$B$15:$B$18,0)),1))</f>
        <v>1</v>
      </c>
      <c r="M55" s="35" t="str">
        <f aca="false">IF($G55="","",MIN($G55,$L55))</f>
        <v/>
      </c>
      <c r="N55" s="18" t="str">
        <f aca="false">IF($G55="","",IF($M55&lt;$G55,"capped "&amp;TEXT($G55,"0")&amp;" to "&amp;TEXT($M55,"0")&amp;IF($K55&lt;&gt;$H55," (evidence aged)",""),""))</f>
        <v/>
      </c>
      <c r="O55" s="17" t="s">
        <v>389</v>
      </c>
      <c r="P55" s="36" t="n">
        <v>0</v>
      </c>
      <c r="Q55" s="36" t="n">
        <v>0</v>
      </c>
      <c r="R55" s="36" t="n">
        <v>0</v>
      </c>
      <c r="S55" s="24" t="n">
        <f aca="false">IF($G55="",0,1)</f>
        <v>0</v>
      </c>
      <c r="T55" s="35" t="n">
        <f aca="false">IF($G55="",0,$G55)</f>
        <v>0</v>
      </c>
      <c r="U55" s="35" t="n">
        <f aca="false">IF($G55="",0,MIN($G55,$L55))</f>
        <v>0</v>
      </c>
    </row>
    <row r="56" customFormat="false" ht="33.75" hidden="false" customHeight="true" outlineLevel="0" collapsed="false">
      <c r="A56" s="8" t="s">
        <v>390</v>
      </c>
      <c r="B56" s="30" t="n">
        <v>12</v>
      </c>
      <c r="C56" s="34" t="s">
        <v>391</v>
      </c>
      <c r="D56" s="8" t="s">
        <v>392</v>
      </c>
      <c r="E56" s="30" t="n">
        <v>18</v>
      </c>
      <c r="F56" s="17" t="s">
        <v>393</v>
      </c>
      <c r="G56" s="20"/>
      <c r="H56" s="20"/>
      <c r="I56" s="20"/>
      <c r="J56" s="9"/>
      <c r="K56" s="18" t="str">
        <f aca="false">IF($H56="","",IF($H56&lt;&gt;"VC3 — Repeatably validated",$H56,IF(OR($I56="",'1 Context'!$C$7="",NOT(ISNUMBER(DATEVALUE(TEXT($I56,"yyyy-mm-dd"))))),"VC2 — Implemented and tested",IF(DATEDIF(DATEVALUE(TEXT($I56,"yyyy-mm-dd")),'1 Context'!$C$7,"m")&gt;12,"VC2 — Implemented and tested",$H56))))</f>
        <v/>
      </c>
      <c r="L56" s="24" t="n">
        <f aca="false">IF($K56="",1,IFERROR(INDEX(Reference!$C$15:$C$18,MATCH($K56,Reference!$B$15:$B$18,0)),1))</f>
        <v>1</v>
      </c>
      <c r="M56" s="35" t="str">
        <f aca="false">IF($G56="","",MIN($G56,$L56))</f>
        <v/>
      </c>
      <c r="N56" s="18" t="str">
        <f aca="false">IF($G56="","",IF($M56&lt;$G56,"capped "&amp;TEXT($G56,"0")&amp;" to "&amp;TEXT($M56,"0")&amp;IF($K56&lt;&gt;$H56," (evidence aged)",""),""))</f>
        <v/>
      </c>
      <c r="O56" s="17" t="s">
        <v>394</v>
      </c>
      <c r="P56" s="36" t="n">
        <v>0</v>
      </c>
      <c r="Q56" s="36" t="n">
        <v>0</v>
      </c>
      <c r="R56" s="36" t="n">
        <v>0</v>
      </c>
      <c r="S56" s="24" t="n">
        <f aca="false">IF($G56="",0,1)</f>
        <v>0</v>
      </c>
      <c r="T56" s="35" t="n">
        <f aca="false">IF($G56="",0,$G56)</f>
        <v>0</v>
      </c>
      <c r="U56" s="35" t="n">
        <f aca="false">IF($G56="",0,MIN($G56,$L56))</f>
        <v>0</v>
      </c>
    </row>
    <row r="57" customFormat="false" ht="33.75" hidden="false" customHeight="true" outlineLevel="0" collapsed="false">
      <c r="A57" s="8" t="s">
        <v>390</v>
      </c>
      <c r="B57" s="30" t="n">
        <v>12</v>
      </c>
      <c r="C57" s="34" t="s">
        <v>395</v>
      </c>
      <c r="D57" s="8" t="s">
        <v>396</v>
      </c>
      <c r="E57" s="30" t="n">
        <v>18</v>
      </c>
      <c r="F57" s="17" t="s">
        <v>397</v>
      </c>
      <c r="G57" s="20"/>
      <c r="H57" s="20"/>
      <c r="I57" s="20"/>
      <c r="J57" s="9"/>
      <c r="K57" s="18" t="str">
        <f aca="false">IF($H57="","",IF($H57&lt;&gt;"VC3 — Repeatably validated",$H57,IF(OR($I57="",'1 Context'!$C$7="",NOT(ISNUMBER(DATEVALUE(TEXT($I57,"yyyy-mm-dd"))))),"VC2 — Implemented and tested",IF(DATEDIF(DATEVALUE(TEXT($I57,"yyyy-mm-dd")),'1 Context'!$C$7,"m")&gt;12,"VC2 — Implemented and tested",$H57))))</f>
        <v/>
      </c>
      <c r="L57" s="24" t="n">
        <f aca="false">IF($K57="",1,IFERROR(INDEX(Reference!$C$15:$C$18,MATCH($K57,Reference!$B$15:$B$18,0)),1))</f>
        <v>1</v>
      </c>
      <c r="M57" s="35" t="str">
        <f aca="false">IF($G57="","",MIN($G57,$L57))</f>
        <v/>
      </c>
      <c r="N57" s="18" t="str">
        <f aca="false">IF($G57="","",IF($M57&lt;$G57,"capped "&amp;TEXT($G57,"0")&amp;" to "&amp;TEXT($M57,"0")&amp;IF($K57&lt;&gt;$H57," (evidence aged)",""),""))</f>
        <v/>
      </c>
      <c r="O57" s="17" t="s">
        <v>398</v>
      </c>
      <c r="P57" s="36" t="n">
        <v>0</v>
      </c>
      <c r="Q57" s="36" t="n">
        <v>0</v>
      </c>
      <c r="R57" s="36" t="n">
        <v>2</v>
      </c>
      <c r="S57" s="24" t="n">
        <f aca="false">IF($G57="",0,1)</f>
        <v>0</v>
      </c>
      <c r="T57" s="35" t="n">
        <f aca="false">IF($G57="",0,$G57)</f>
        <v>0</v>
      </c>
      <c r="U57" s="35" t="n">
        <f aca="false">IF($G57="",0,MIN($G57,$L57))</f>
        <v>0</v>
      </c>
    </row>
    <row r="58" customFormat="false" ht="33.75" hidden="false" customHeight="true" outlineLevel="0" collapsed="false">
      <c r="A58" s="8" t="s">
        <v>390</v>
      </c>
      <c r="B58" s="30" t="n">
        <v>12</v>
      </c>
      <c r="C58" s="34" t="s">
        <v>399</v>
      </c>
      <c r="D58" s="8" t="s">
        <v>400</v>
      </c>
      <c r="E58" s="30" t="n">
        <v>16</v>
      </c>
      <c r="F58" s="17" t="s">
        <v>401</v>
      </c>
      <c r="G58" s="20"/>
      <c r="H58" s="20"/>
      <c r="I58" s="20"/>
      <c r="J58" s="9"/>
      <c r="K58" s="18" t="str">
        <f aca="false">IF($H58="","",IF($H58&lt;&gt;"VC3 — Repeatably validated",$H58,IF(OR($I58="",'1 Context'!$C$7="",NOT(ISNUMBER(DATEVALUE(TEXT($I58,"yyyy-mm-dd"))))),"VC2 — Implemented and tested",IF(DATEDIF(DATEVALUE(TEXT($I58,"yyyy-mm-dd")),'1 Context'!$C$7,"m")&gt;12,"VC2 — Implemented and tested",$H58))))</f>
        <v/>
      </c>
      <c r="L58" s="24" t="n">
        <f aca="false">IF($K58="",1,IFERROR(INDEX(Reference!$C$15:$C$18,MATCH($K58,Reference!$B$15:$B$18,0)),1))</f>
        <v>1</v>
      </c>
      <c r="M58" s="35" t="str">
        <f aca="false">IF($G58="","",MIN($G58,$L58))</f>
        <v/>
      </c>
      <c r="N58" s="18" t="str">
        <f aca="false">IF($G58="","",IF($M58&lt;$G58,"capped "&amp;TEXT($G58,"0")&amp;" to "&amp;TEXT($M58,"0")&amp;IF($K58&lt;&gt;$H58," (evidence aged)",""),""))</f>
        <v/>
      </c>
      <c r="O58" s="17" t="s">
        <v>402</v>
      </c>
      <c r="P58" s="36" t="n">
        <v>0</v>
      </c>
      <c r="Q58" s="36" t="n">
        <v>0</v>
      </c>
      <c r="R58" s="36" t="n">
        <v>2</v>
      </c>
      <c r="S58" s="24" t="n">
        <f aca="false">IF($G58="",0,1)</f>
        <v>0</v>
      </c>
      <c r="T58" s="35" t="n">
        <f aca="false">IF($G58="",0,$G58)</f>
        <v>0</v>
      </c>
      <c r="U58" s="35" t="n">
        <f aca="false">IF($G58="",0,MIN($G58,$L58))</f>
        <v>0</v>
      </c>
    </row>
    <row r="59" customFormat="false" ht="33.75" hidden="false" customHeight="true" outlineLevel="0" collapsed="false">
      <c r="A59" s="8" t="s">
        <v>390</v>
      </c>
      <c r="B59" s="30" t="n">
        <v>12</v>
      </c>
      <c r="C59" s="34" t="s">
        <v>403</v>
      </c>
      <c r="D59" s="8" t="s">
        <v>404</v>
      </c>
      <c r="E59" s="30" t="n">
        <v>12</v>
      </c>
      <c r="F59" s="17" t="s">
        <v>405</v>
      </c>
      <c r="G59" s="20"/>
      <c r="H59" s="20"/>
      <c r="I59" s="20"/>
      <c r="J59" s="9"/>
      <c r="K59" s="18" t="str">
        <f aca="false">IF($H59="","",IF($H59&lt;&gt;"VC3 — Repeatably validated",$H59,IF(OR($I59="",'1 Context'!$C$7="",NOT(ISNUMBER(DATEVALUE(TEXT($I59,"yyyy-mm-dd"))))),"VC2 — Implemented and tested",IF(DATEDIF(DATEVALUE(TEXT($I59,"yyyy-mm-dd")),'1 Context'!$C$7,"m")&gt;12,"VC2 — Implemented and tested",$H59))))</f>
        <v/>
      </c>
      <c r="L59" s="24" t="n">
        <f aca="false">IF($K59="",1,IFERROR(INDEX(Reference!$C$15:$C$18,MATCH($K59,Reference!$B$15:$B$18,0)),1))</f>
        <v>1</v>
      </c>
      <c r="M59" s="35" t="str">
        <f aca="false">IF($G59="","",MIN($G59,$L59))</f>
        <v/>
      </c>
      <c r="N59" s="18" t="str">
        <f aca="false">IF($G59="","",IF($M59&lt;$G59,"capped "&amp;TEXT($G59,"0")&amp;" to "&amp;TEXT($M59,"0")&amp;IF($K59&lt;&gt;$H59," (evidence aged)",""),""))</f>
        <v/>
      </c>
      <c r="O59" s="17" t="s">
        <v>406</v>
      </c>
      <c r="P59" s="36" t="n">
        <v>0</v>
      </c>
      <c r="Q59" s="36" t="n">
        <v>0</v>
      </c>
      <c r="R59" s="36" t="n">
        <v>2</v>
      </c>
      <c r="S59" s="24" t="n">
        <f aca="false">IF($G59="",0,1)</f>
        <v>0</v>
      </c>
      <c r="T59" s="35" t="n">
        <f aca="false">IF($G59="",0,$G59)</f>
        <v>0</v>
      </c>
      <c r="U59" s="35" t="n">
        <f aca="false">IF($G59="",0,MIN($G59,$L59))</f>
        <v>0</v>
      </c>
    </row>
    <row r="60" customFormat="false" ht="33.75" hidden="false" customHeight="true" outlineLevel="0" collapsed="false">
      <c r="A60" s="8" t="s">
        <v>390</v>
      </c>
      <c r="B60" s="30" t="n">
        <v>12</v>
      </c>
      <c r="C60" s="34" t="s">
        <v>407</v>
      </c>
      <c r="D60" s="8" t="s">
        <v>408</v>
      </c>
      <c r="E60" s="30" t="n">
        <v>12</v>
      </c>
      <c r="F60" s="17" t="s">
        <v>409</v>
      </c>
      <c r="G60" s="20"/>
      <c r="H60" s="20"/>
      <c r="I60" s="20"/>
      <c r="J60" s="9"/>
      <c r="K60" s="18" t="str">
        <f aca="false">IF($H60="","",IF($H60&lt;&gt;"VC3 — Repeatably validated",$H60,IF(OR($I60="",'1 Context'!$C$7="",NOT(ISNUMBER(DATEVALUE(TEXT($I60,"yyyy-mm-dd"))))),"VC2 — Implemented and tested",IF(DATEDIF(DATEVALUE(TEXT($I60,"yyyy-mm-dd")),'1 Context'!$C$7,"m")&gt;12,"VC2 — Implemented and tested",$H60))))</f>
        <v/>
      </c>
      <c r="L60" s="24" t="n">
        <f aca="false">IF($K60="",1,IFERROR(INDEX(Reference!$C$15:$C$18,MATCH($K60,Reference!$B$15:$B$18,0)),1))</f>
        <v>1</v>
      </c>
      <c r="M60" s="35" t="str">
        <f aca="false">IF($G60="","",MIN($G60,$L60))</f>
        <v/>
      </c>
      <c r="N60" s="18" t="str">
        <f aca="false">IF($G60="","",IF($M60&lt;$G60,"capped "&amp;TEXT($G60,"0")&amp;" to "&amp;TEXT($M60,"0")&amp;IF($K60&lt;&gt;$H60," (evidence aged)",""),""))</f>
        <v/>
      </c>
      <c r="O60" s="17" t="s">
        <v>410</v>
      </c>
      <c r="P60" s="36" t="n">
        <v>0</v>
      </c>
      <c r="Q60" s="36" t="n">
        <v>0</v>
      </c>
      <c r="R60" s="36" t="n">
        <v>0</v>
      </c>
      <c r="S60" s="24" t="n">
        <f aca="false">IF($G60="",0,1)</f>
        <v>0</v>
      </c>
      <c r="T60" s="35" t="n">
        <f aca="false">IF($G60="",0,$G60)</f>
        <v>0</v>
      </c>
      <c r="U60" s="35" t="n">
        <f aca="false">IF($G60="",0,MIN($G60,$L60))</f>
        <v>0</v>
      </c>
    </row>
    <row r="61" customFormat="false" ht="33.75" hidden="false" customHeight="true" outlineLevel="0" collapsed="false">
      <c r="A61" s="8" t="s">
        <v>390</v>
      </c>
      <c r="B61" s="30" t="n">
        <v>12</v>
      </c>
      <c r="C61" s="34" t="s">
        <v>411</v>
      </c>
      <c r="D61" s="8" t="s">
        <v>412</v>
      </c>
      <c r="E61" s="30" t="n">
        <v>12</v>
      </c>
      <c r="F61" s="17" t="s">
        <v>413</v>
      </c>
      <c r="G61" s="20"/>
      <c r="H61" s="20"/>
      <c r="I61" s="20"/>
      <c r="J61" s="9"/>
      <c r="K61" s="18" t="str">
        <f aca="false">IF($H61="","",IF($H61&lt;&gt;"VC3 — Repeatably validated",$H61,IF(OR($I61="",'1 Context'!$C$7="",NOT(ISNUMBER(DATEVALUE(TEXT($I61,"yyyy-mm-dd"))))),"VC2 — Implemented and tested",IF(DATEDIF(DATEVALUE(TEXT($I61,"yyyy-mm-dd")),'1 Context'!$C$7,"m")&gt;12,"VC2 — Implemented and tested",$H61))))</f>
        <v/>
      </c>
      <c r="L61" s="24" t="n">
        <f aca="false">IF($K61="",1,IFERROR(INDEX(Reference!$C$15:$C$18,MATCH($K61,Reference!$B$15:$B$18,0)),1))</f>
        <v>1</v>
      </c>
      <c r="M61" s="35" t="str">
        <f aca="false">IF($G61="","",MIN($G61,$L61))</f>
        <v/>
      </c>
      <c r="N61" s="18" t="str">
        <f aca="false">IF($G61="","",IF($M61&lt;$G61,"capped "&amp;TEXT($G61,"0")&amp;" to "&amp;TEXT($M61,"0")&amp;IF($K61&lt;&gt;$H61," (evidence aged)",""),""))</f>
        <v/>
      </c>
      <c r="O61" s="17" t="s">
        <v>414</v>
      </c>
      <c r="P61" s="36" t="n">
        <v>0</v>
      </c>
      <c r="Q61" s="36" t="n">
        <v>1</v>
      </c>
      <c r="R61" s="36" t="n">
        <v>0</v>
      </c>
      <c r="S61" s="24" t="n">
        <f aca="false">IF($G61="",0,1)</f>
        <v>0</v>
      </c>
      <c r="T61" s="35" t="n">
        <f aca="false">IF($G61="",0,$G61)</f>
        <v>0</v>
      </c>
      <c r="U61" s="35" t="n">
        <f aca="false">IF($G61="",0,MIN($G61,$L61))</f>
        <v>0</v>
      </c>
    </row>
    <row r="62" customFormat="false" ht="33.75" hidden="false" customHeight="true" outlineLevel="0" collapsed="false">
      <c r="A62" s="8" t="s">
        <v>390</v>
      </c>
      <c r="B62" s="30" t="n">
        <v>12</v>
      </c>
      <c r="C62" s="34" t="s">
        <v>415</v>
      </c>
      <c r="D62" s="8" t="s">
        <v>416</v>
      </c>
      <c r="E62" s="30" t="n">
        <v>12</v>
      </c>
      <c r="F62" s="17" t="s">
        <v>417</v>
      </c>
      <c r="G62" s="20"/>
      <c r="H62" s="20"/>
      <c r="I62" s="20"/>
      <c r="J62" s="9"/>
      <c r="K62" s="18" t="str">
        <f aca="false">IF($H62="","",IF($H62&lt;&gt;"VC3 — Repeatably validated",$H62,IF(OR($I62="",'1 Context'!$C$7="",NOT(ISNUMBER(DATEVALUE(TEXT($I62,"yyyy-mm-dd"))))),"VC2 — Implemented and tested",IF(DATEDIF(DATEVALUE(TEXT($I62,"yyyy-mm-dd")),'1 Context'!$C$7,"m")&gt;12,"VC2 — Implemented and tested",$H62))))</f>
        <v/>
      </c>
      <c r="L62" s="24" t="n">
        <f aca="false">IF($K62="",1,IFERROR(INDEX(Reference!$C$15:$C$18,MATCH($K62,Reference!$B$15:$B$18,0)),1))</f>
        <v>1</v>
      </c>
      <c r="M62" s="35" t="str">
        <f aca="false">IF($G62="","",MIN($G62,$L62))</f>
        <v/>
      </c>
      <c r="N62" s="18" t="str">
        <f aca="false">IF($G62="","",IF($M62&lt;$G62,"capped "&amp;TEXT($G62,"0")&amp;" to "&amp;TEXT($M62,"0")&amp;IF($K62&lt;&gt;$H62," (evidence aged)",""),""))</f>
        <v/>
      </c>
      <c r="O62" s="17" t="s">
        <v>418</v>
      </c>
      <c r="P62" s="36" t="n">
        <v>0</v>
      </c>
      <c r="Q62" s="36" t="n">
        <v>0</v>
      </c>
      <c r="R62" s="36" t="n">
        <v>1</v>
      </c>
      <c r="S62" s="24" t="n">
        <f aca="false">IF($G62="",0,1)</f>
        <v>0</v>
      </c>
      <c r="T62" s="35" t="n">
        <f aca="false">IF($G62="",0,$G62)</f>
        <v>0</v>
      </c>
      <c r="U62" s="35" t="n">
        <f aca="false">IF($G62="",0,MIN($G62,$L62))</f>
        <v>0</v>
      </c>
    </row>
  </sheetData>
  <mergeCells count="2">
    <mergeCell ref="A1:F1"/>
    <mergeCell ref="A2:F2"/>
  </mergeCells>
  <conditionalFormatting sqref="N5:N62">
    <cfRule type="cellIs" priority="2" operator="notEqual" aboveAverage="0" equalAverage="0" bottom="0" percent="0" rank="0" text="" dxfId="0">
      <formula>""</formula>
    </cfRule>
  </conditionalFormatting>
  <dataValidations count="2">
    <dataValidation allowBlank="true" error="Score 0 to 5, or leave blank if out of scope." errorStyle="stop" errorTitle="Out of range" operator="between" showDropDown="false" showErrorMessage="true" showInputMessage="false" sqref="G5:G62" type="whole">
      <formula1>0</formula1>
      <formula2>5</formula2>
    </dataValidation>
    <dataValidation allowBlank="true" error="Pick an evidence class from the list." errorStyle="stop" errorTitle="Unknown evidence class" operator="between" showDropDown="false" showErrorMessage="true" showInputMessage="false" sqref="H5:H62" type="list">
      <formula1>Reference!$B$15:$B$18</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6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8"/>
    <col collapsed="false" customWidth="true" hidden="false" outlineLevel="0" max="4" min="4" style="0" width="30"/>
    <col collapsed="false" customWidth="true" hidden="false" outlineLevel="0" max="5" min="5" style="0" width="12"/>
    <col collapsed="false" customWidth="true" hidden="false" outlineLevel="0" max="6" min="6" style="0" width="24"/>
    <col collapsed="false" customWidth="true" hidden="false" outlineLevel="0" max="7" min="7" style="0" width="16"/>
    <col collapsed="false" customWidth="true" hidden="false" outlineLevel="0" max="8" min="8" style="0" width="20"/>
    <col collapsed="false" customWidth="true" hidden="false" outlineLevel="0" max="9" min="9" style="0" width="16"/>
    <col collapsed="false" customWidth="true" hidden="false" outlineLevel="0" max="10" min="10" style="0" width="9"/>
    <col collapsed="false" customWidth="true" hidden="false" outlineLevel="0" max="11" min="11" style="0" width="10"/>
    <col collapsed="false" customWidth="true" hidden="false" outlineLevel="0" max="12" min="12" style="0" width="12"/>
    <col collapsed="false" customWidth="true" hidden="false" outlineLevel="0" max="14" min="13" style="0" width="9"/>
    <col collapsed="false" customWidth="true" hidden="false" outlineLevel="0" max="15" min="15" style="0" width="11"/>
    <col collapsed="false" customWidth="true" hidden="false" outlineLevel="0" max="16" min="16" style="0" width="16"/>
    <col collapsed="false" customWidth="true" hidden="false" outlineLevel="0" max="17" min="17" style="0" width="34"/>
  </cols>
  <sheetData>
    <row r="1" customFormat="false" ht="19.7" hidden="false" customHeight="true" outlineLevel="0" collapsed="false">
      <c r="A1" s="33" t="s">
        <v>419</v>
      </c>
      <c r="B1" s="33"/>
      <c r="C1" s="33"/>
      <c r="D1" s="33"/>
      <c r="E1" s="33"/>
      <c r="F1" s="33"/>
      <c r="G1" s="1"/>
      <c r="H1" s="1"/>
      <c r="I1" s="1"/>
      <c r="J1" s="1"/>
      <c r="K1" s="1"/>
      <c r="L1" s="1"/>
      <c r="M1" s="1"/>
      <c r="N1" s="1"/>
      <c r="O1" s="1"/>
      <c r="P1" s="1"/>
      <c r="Q1" s="1"/>
    </row>
    <row r="2" customFormat="false" ht="22.35" hidden="false" customHeight="true" outlineLevel="0" collapsed="false">
      <c r="A2" s="19" t="s">
        <v>420</v>
      </c>
      <c r="B2" s="19"/>
      <c r="C2" s="19"/>
      <c r="D2" s="19"/>
      <c r="E2" s="19"/>
      <c r="F2" s="19"/>
      <c r="G2" s="1"/>
      <c r="H2" s="1"/>
      <c r="I2" s="1"/>
      <c r="J2" s="1"/>
      <c r="K2" s="1"/>
      <c r="L2" s="1"/>
      <c r="M2" s="1"/>
      <c r="N2" s="1"/>
      <c r="O2" s="1"/>
      <c r="P2" s="1"/>
      <c r="Q2" s="1"/>
    </row>
    <row r="3" customFormat="false" ht="15" hidden="false" customHeight="false" outlineLevel="0" collapsed="false">
      <c r="A3" s="1"/>
      <c r="B3" s="1"/>
      <c r="C3" s="1"/>
      <c r="D3" s="1"/>
      <c r="E3" s="1"/>
      <c r="F3" s="1"/>
      <c r="G3" s="1"/>
      <c r="H3" s="1"/>
      <c r="I3" s="1"/>
      <c r="J3" s="1"/>
      <c r="K3" s="1"/>
      <c r="L3" s="1"/>
      <c r="M3" s="1"/>
      <c r="N3" s="1"/>
      <c r="O3" s="1"/>
      <c r="P3" s="1"/>
      <c r="Q3" s="1"/>
    </row>
    <row r="4" customFormat="false" ht="30" hidden="false" customHeight="true" outlineLevel="0" collapsed="false">
      <c r="A4" s="6" t="s">
        <v>421</v>
      </c>
      <c r="B4" s="6" t="s">
        <v>422</v>
      </c>
      <c r="C4" s="6" t="s">
        <v>423</v>
      </c>
      <c r="D4" s="6" t="s">
        <v>424</v>
      </c>
      <c r="E4" s="6" t="s">
        <v>425</v>
      </c>
      <c r="F4" s="6" t="s">
        <v>426</v>
      </c>
      <c r="G4" s="6" t="s">
        <v>427</v>
      </c>
      <c r="H4" s="6" t="s">
        <v>428</v>
      </c>
      <c r="I4" s="6" t="s">
        <v>429</v>
      </c>
      <c r="J4" s="6" t="s">
        <v>430</v>
      </c>
      <c r="K4" s="6" t="s">
        <v>431</v>
      </c>
      <c r="L4" s="6" t="s">
        <v>432</v>
      </c>
      <c r="M4" s="6" t="s">
        <v>433</v>
      </c>
      <c r="N4" s="6" t="s">
        <v>434</v>
      </c>
      <c r="O4" s="6" t="s">
        <v>435</v>
      </c>
      <c r="P4" s="6" t="s">
        <v>436</v>
      </c>
      <c r="Q4" s="6" t="s">
        <v>437</v>
      </c>
    </row>
    <row r="5" customFormat="false" ht="15" hidden="false" customHeight="false" outlineLevel="0" collapsed="false">
      <c r="A5" s="34" t="s">
        <v>438</v>
      </c>
      <c r="B5" s="8" t="s">
        <v>439</v>
      </c>
      <c r="C5" s="34" t="s">
        <v>440</v>
      </c>
      <c r="D5" s="8" t="s">
        <v>441</v>
      </c>
      <c r="E5" s="20"/>
      <c r="F5" s="20"/>
      <c r="G5" s="20"/>
      <c r="H5" s="20"/>
      <c r="I5" s="20"/>
      <c r="J5" s="24" t="n">
        <f aca="false">IFERROR(INDEX(Reference!$A$29:$A$31,MATCH($F5,Reference!$B$29:$B$31,0)),0)</f>
        <v>0</v>
      </c>
      <c r="K5" s="24" t="n">
        <f aca="false">IFERROR(INDEX(Reference!$A$22:$A$25,MATCH($G5,Reference!$B$22:$B$25,0)),-1)</f>
        <v>-1</v>
      </c>
      <c r="L5" s="24" t="n">
        <f aca="false">IF($K5&lt;&gt;3,$K5,IF(LOWER($I5)="y",2,IF($H5="",2,IF(OR('1 Context'!$C$7="",NOT(ISNUMBER(DATEVALUE(TEXT($H5,"yyyy-mm-dd"))))),2,IF(DATEDIF(DATEVALUE(TEXT($H5,"yyyy-mm-dd")),'1 Context'!$C$7,"m")&gt;12,2,3)))))</f>
        <v>-1</v>
      </c>
      <c r="M5" s="24" t="n">
        <f aca="false">IF(AND(LOWER($E5)="y",$J5&gt;0,$K5&gt;=0),1,0)</f>
        <v>0</v>
      </c>
      <c r="N5" s="37" t="n">
        <v>1.6</v>
      </c>
      <c r="O5" s="35" t="n">
        <f aca="false">IF($M5=0,0,$J5*$N5*(3-$L5))</f>
        <v>0</v>
      </c>
      <c r="P5" s="24" t="n">
        <f aca="false">IF(AND($M5=1,$J5=3,$L5=0),1,0)</f>
        <v>0</v>
      </c>
      <c r="Q5" s="38" t="str">
        <f aca="false">IF(AND($M5=1,$K5=3,$L5&lt;3),IF(LOWER($I5)="y","reverted to 2: proof superseded by a declared change",IF($H5="","reverted to 2: no proof date recorded","reverted to 2: last proven more than 12 months ago")),"")</f>
        <v/>
      </c>
    </row>
    <row r="6" customFormat="false" ht="15" hidden="false" customHeight="false" outlineLevel="0" collapsed="false">
      <c r="A6" s="34" t="s">
        <v>438</v>
      </c>
      <c r="B6" s="8" t="s">
        <v>439</v>
      </c>
      <c r="C6" s="34" t="s">
        <v>442</v>
      </c>
      <c r="D6" s="8" t="s">
        <v>443</v>
      </c>
      <c r="E6" s="20"/>
      <c r="F6" s="20"/>
      <c r="G6" s="20"/>
      <c r="H6" s="20"/>
      <c r="I6" s="20"/>
      <c r="J6" s="24" t="n">
        <f aca="false">IFERROR(INDEX(Reference!$A$29:$A$31,MATCH($F6,Reference!$B$29:$B$31,0)),0)</f>
        <v>0</v>
      </c>
      <c r="K6" s="24" t="n">
        <f aca="false">IFERROR(INDEX(Reference!$A$22:$A$25,MATCH($G6,Reference!$B$22:$B$25,0)),-1)</f>
        <v>-1</v>
      </c>
      <c r="L6" s="24" t="n">
        <f aca="false">IF($K6&lt;&gt;3,$K6,IF(LOWER($I6)="y",2,IF($H6="",2,IF(OR('1 Context'!$C$7="",NOT(ISNUMBER(DATEVALUE(TEXT($H6,"yyyy-mm-dd"))))),2,IF(DATEDIF(DATEVALUE(TEXT($H6,"yyyy-mm-dd")),'1 Context'!$C$7,"m")&gt;12,2,3)))))</f>
        <v>-1</v>
      </c>
      <c r="M6" s="24" t="n">
        <f aca="false">IF(AND(LOWER($E6)="y",$J6&gt;0,$K6&gt;=0),1,0)</f>
        <v>0</v>
      </c>
      <c r="N6" s="37" t="n">
        <v>1.6</v>
      </c>
      <c r="O6" s="35" t="n">
        <f aca="false">IF($M6=0,0,$J6*$N6*(3-$L6))</f>
        <v>0</v>
      </c>
      <c r="P6" s="24" t="n">
        <f aca="false">IF(AND($M6=1,$J6=3,$L6=0),1,0)</f>
        <v>0</v>
      </c>
      <c r="Q6" s="38" t="str">
        <f aca="false">IF(AND($M6=1,$K6=3,$L6&lt;3),IF(LOWER($I6)="y","reverted to 2: proof superseded by a declared change",IF($H6="","reverted to 2: no proof date recorded","reverted to 2: last proven more than 12 months ago")),"")</f>
        <v/>
      </c>
    </row>
    <row r="7" customFormat="false" ht="15" hidden="false" customHeight="false" outlineLevel="0" collapsed="false">
      <c r="A7" s="34" t="s">
        <v>438</v>
      </c>
      <c r="B7" s="8" t="s">
        <v>439</v>
      </c>
      <c r="C7" s="34" t="s">
        <v>444</v>
      </c>
      <c r="D7" s="8" t="s">
        <v>445</v>
      </c>
      <c r="E7" s="20"/>
      <c r="F7" s="20"/>
      <c r="G7" s="20"/>
      <c r="H7" s="20"/>
      <c r="I7" s="20"/>
      <c r="J7" s="24" t="n">
        <f aca="false">IFERROR(INDEX(Reference!$A$29:$A$31,MATCH($F7,Reference!$B$29:$B$31,0)),0)</f>
        <v>0</v>
      </c>
      <c r="K7" s="24" t="n">
        <f aca="false">IFERROR(INDEX(Reference!$A$22:$A$25,MATCH($G7,Reference!$B$22:$B$25,0)),-1)</f>
        <v>-1</v>
      </c>
      <c r="L7" s="24" t="n">
        <f aca="false">IF($K7&lt;&gt;3,$K7,IF(LOWER($I7)="y",2,IF($H7="",2,IF(OR('1 Context'!$C$7="",NOT(ISNUMBER(DATEVALUE(TEXT($H7,"yyyy-mm-dd"))))),2,IF(DATEDIF(DATEVALUE(TEXT($H7,"yyyy-mm-dd")),'1 Context'!$C$7,"m")&gt;12,2,3)))))</f>
        <v>-1</v>
      </c>
      <c r="M7" s="24" t="n">
        <f aca="false">IF(AND(LOWER($E7)="y",$J7&gt;0,$K7&gt;=0),1,0)</f>
        <v>0</v>
      </c>
      <c r="N7" s="37" t="n">
        <v>1.6</v>
      </c>
      <c r="O7" s="35" t="n">
        <f aca="false">IF($M7=0,0,$J7*$N7*(3-$L7))</f>
        <v>0</v>
      </c>
      <c r="P7" s="24" t="n">
        <f aca="false">IF(AND($M7=1,$J7=3,$L7=0),1,0)</f>
        <v>0</v>
      </c>
      <c r="Q7" s="38" t="str">
        <f aca="false">IF(AND($M7=1,$K7=3,$L7&lt;3),IF(LOWER($I7)="y","reverted to 2: proof superseded by a declared change",IF($H7="","reverted to 2: no proof date recorded","reverted to 2: last proven more than 12 months ago")),"")</f>
        <v/>
      </c>
    </row>
    <row r="8" customFormat="false" ht="15" hidden="false" customHeight="false" outlineLevel="0" collapsed="false">
      <c r="A8" s="34" t="s">
        <v>438</v>
      </c>
      <c r="B8" s="8" t="s">
        <v>439</v>
      </c>
      <c r="C8" s="34" t="s">
        <v>446</v>
      </c>
      <c r="D8" s="8" t="s">
        <v>447</v>
      </c>
      <c r="E8" s="20"/>
      <c r="F8" s="20"/>
      <c r="G8" s="20"/>
      <c r="H8" s="20"/>
      <c r="I8" s="20"/>
      <c r="J8" s="24" t="n">
        <f aca="false">IFERROR(INDEX(Reference!$A$29:$A$31,MATCH($F8,Reference!$B$29:$B$31,0)),0)</f>
        <v>0</v>
      </c>
      <c r="K8" s="24" t="n">
        <f aca="false">IFERROR(INDEX(Reference!$A$22:$A$25,MATCH($G8,Reference!$B$22:$B$25,0)),-1)</f>
        <v>-1</v>
      </c>
      <c r="L8" s="24" t="n">
        <f aca="false">IF($K8&lt;&gt;3,$K8,IF(LOWER($I8)="y",2,IF($H8="",2,IF(OR('1 Context'!$C$7="",NOT(ISNUMBER(DATEVALUE(TEXT($H8,"yyyy-mm-dd"))))),2,IF(DATEDIF(DATEVALUE(TEXT($H8,"yyyy-mm-dd")),'1 Context'!$C$7,"m")&gt;12,2,3)))))</f>
        <v>-1</v>
      </c>
      <c r="M8" s="24" t="n">
        <f aca="false">IF(AND(LOWER($E8)="y",$J8&gt;0,$K8&gt;=0),1,0)</f>
        <v>0</v>
      </c>
      <c r="N8" s="37" t="n">
        <v>1.6</v>
      </c>
      <c r="O8" s="35" t="n">
        <f aca="false">IF($M8=0,0,$J8*$N8*(3-$L8))</f>
        <v>0</v>
      </c>
      <c r="P8" s="24" t="n">
        <f aca="false">IF(AND($M8=1,$J8=3,$L8=0),1,0)</f>
        <v>0</v>
      </c>
      <c r="Q8" s="38" t="str">
        <f aca="false">IF(AND($M8=1,$K8=3,$L8&lt;3),IF(LOWER($I8)="y","reverted to 2: proof superseded by a declared change",IF($H8="","reverted to 2: no proof date recorded","reverted to 2: last proven more than 12 months ago")),"")</f>
        <v/>
      </c>
    </row>
    <row r="9" customFormat="false" ht="15" hidden="false" customHeight="false" outlineLevel="0" collapsed="false">
      <c r="A9" s="34" t="s">
        <v>438</v>
      </c>
      <c r="B9" s="8" t="s">
        <v>439</v>
      </c>
      <c r="C9" s="34" t="s">
        <v>448</v>
      </c>
      <c r="D9" s="8" t="s">
        <v>449</v>
      </c>
      <c r="E9" s="20"/>
      <c r="F9" s="20"/>
      <c r="G9" s="20"/>
      <c r="H9" s="20"/>
      <c r="I9" s="20"/>
      <c r="J9" s="24" t="n">
        <f aca="false">IFERROR(INDEX(Reference!$A$29:$A$31,MATCH($F9,Reference!$B$29:$B$31,0)),0)</f>
        <v>0</v>
      </c>
      <c r="K9" s="24" t="n">
        <f aca="false">IFERROR(INDEX(Reference!$A$22:$A$25,MATCH($G9,Reference!$B$22:$B$25,0)),-1)</f>
        <v>-1</v>
      </c>
      <c r="L9" s="24" t="n">
        <f aca="false">IF($K9&lt;&gt;3,$K9,IF(LOWER($I9)="y",2,IF($H9="",2,IF(OR('1 Context'!$C$7="",NOT(ISNUMBER(DATEVALUE(TEXT($H9,"yyyy-mm-dd"))))),2,IF(DATEDIF(DATEVALUE(TEXT($H9,"yyyy-mm-dd")),'1 Context'!$C$7,"m")&gt;12,2,3)))))</f>
        <v>-1</v>
      </c>
      <c r="M9" s="24" t="n">
        <f aca="false">IF(AND(LOWER($E9)="y",$J9&gt;0,$K9&gt;=0),1,0)</f>
        <v>0</v>
      </c>
      <c r="N9" s="37" t="n">
        <v>1.6</v>
      </c>
      <c r="O9" s="35" t="n">
        <f aca="false">IF($M9=0,0,$J9*$N9*(3-$L9))</f>
        <v>0</v>
      </c>
      <c r="P9" s="24" t="n">
        <f aca="false">IF(AND($M9=1,$J9=3,$L9=0),1,0)</f>
        <v>0</v>
      </c>
      <c r="Q9" s="38" t="str">
        <f aca="false">IF(AND($M9=1,$K9=3,$L9&lt;3),IF(LOWER($I9)="y","reverted to 2: proof superseded by a declared change",IF($H9="","reverted to 2: no proof date recorded","reverted to 2: last proven more than 12 months ago")),"")</f>
        <v/>
      </c>
    </row>
    <row r="10" customFormat="false" ht="15" hidden="false" customHeight="false" outlineLevel="0" collapsed="false">
      <c r="A10" s="34" t="s">
        <v>438</v>
      </c>
      <c r="B10" s="8" t="s">
        <v>439</v>
      </c>
      <c r="C10" s="34" t="s">
        <v>450</v>
      </c>
      <c r="D10" s="8" t="s">
        <v>451</v>
      </c>
      <c r="E10" s="20"/>
      <c r="F10" s="20"/>
      <c r="G10" s="20"/>
      <c r="H10" s="20"/>
      <c r="I10" s="20"/>
      <c r="J10" s="24" t="n">
        <f aca="false">IFERROR(INDEX(Reference!$A$29:$A$31,MATCH($F10,Reference!$B$29:$B$31,0)),0)</f>
        <v>0</v>
      </c>
      <c r="K10" s="24" t="n">
        <f aca="false">IFERROR(INDEX(Reference!$A$22:$A$25,MATCH($G10,Reference!$B$22:$B$25,0)),-1)</f>
        <v>-1</v>
      </c>
      <c r="L10" s="24" t="n">
        <f aca="false">IF($K10&lt;&gt;3,$K10,IF(LOWER($I10)="y",2,IF($H10="",2,IF(OR('1 Context'!$C$7="",NOT(ISNUMBER(DATEVALUE(TEXT($H10,"yyyy-mm-dd"))))),2,IF(DATEDIF(DATEVALUE(TEXT($H10,"yyyy-mm-dd")),'1 Context'!$C$7,"m")&gt;12,2,3)))))</f>
        <v>-1</v>
      </c>
      <c r="M10" s="24" t="n">
        <f aca="false">IF(AND(LOWER($E10)="y",$J10&gt;0,$K10&gt;=0),1,0)</f>
        <v>0</v>
      </c>
      <c r="N10" s="37" t="n">
        <v>1.6</v>
      </c>
      <c r="O10" s="35" t="n">
        <f aca="false">IF($M10=0,0,$J10*$N10*(3-$L10))</f>
        <v>0</v>
      </c>
      <c r="P10" s="24" t="n">
        <f aca="false">IF(AND($M10=1,$J10=3,$L10=0),1,0)</f>
        <v>0</v>
      </c>
      <c r="Q10" s="38" t="str">
        <f aca="false">IF(AND($M10=1,$K10=3,$L10&lt;3),IF(LOWER($I10)="y","reverted to 2: proof superseded by a declared change",IF($H10="","reverted to 2: no proof date recorded","reverted to 2: last proven more than 12 months ago")),"")</f>
        <v/>
      </c>
    </row>
    <row r="11" customFormat="false" ht="15" hidden="false" customHeight="false" outlineLevel="0" collapsed="false">
      <c r="A11" s="34" t="s">
        <v>438</v>
      </c>
      <c r="B11" s="8" t="s">
        <v>439</v>
      </c>
      <c r="C11" s="34" t="s">
        <v>452</v>
      </c>
      <c r="D11" s="8" t="s">
        <v>453</v>
      </c>
      <c r="E11" s="20"/>
      <c r="F11" s="20"/>
      <c r="G11" s="20"/>
      <c r="H11" s="20"/>
      <c r="I11" s="20"/>
      <c r="J11" s="24" t="n">
        <f aca="false">IFERROR(INDEX(Reference!$A$29:$A$31,MATCH($F11,Reference!$B$29:$B$31,0)),0)</f>
        <v>0</v>
      </c>
      <c r="K11" s="24" t="n">
        <f aca="false">IFERROR(INDEX(Reference!$A$22:$A$25,MATCH($G11,Reference!$B$22:$B$25,0)),-1)</f>
        <v>-1</v>
      </c>
      <c r="L11" s="24" t="n">
        <f aca="false">IF($K11&lt;&gt;3,$K11,IF(LOWER($I11)="y",2,IF($H11="",2,IF(OR('1 Context'!$C$7="",NOT(ISNUMBER(DATEVALUE(TEXT($H11,"yyyy-mm-dd"))))),2,IF(DATEDIF(DATEVALUE(TEXT($H11,"yyyy-mm-dd")),'1 Context'!$C$7,"m")&gt;12,2,3)))))</f>
        <v>-1</v>
      </c>
      <c r="M11" s="24" t="n">
        <f aca="false">IF(AND(LOWER($E11)="y",$J11&gt;0,$K11&gt;=0),1,0)</f>
        <v>0</v>
      </c>
      <c r="N11" s="37" t="n">
        <v>1.6</v>
      </c>
      <c r="O11" s="35" t="n">
        <f aca="false">IF($M11=0,0,$J11*$N11*(3-$L11))</f>
        <v>0</v>
      </c>
      <c r="P11" s="24" t="n">
        <f aca="false">IF(AND($M11=1,$J11=3,$L11=0),1,0)</f>
        <v>0</v>
      </c>
      <c r="Q11" s="38" t="str">
        <f aca="false">IF(AND($M11=1,$K11=3,$L11&lt;3),IF(LOWER($I11)="y","reverted to 2: proof superseded by a declared change",IF($H11="","reverted to 2: no proof date recorded","reverted to 2: last proven more than 12 months ago")),"")</f>
        <v/>
      </c>
    </row>
    <row r="12" customFormat="false" ht="15" hidden="false" customHeight="false" outlineLevel="0" collapsed="false">
      <c r="A12" s="34" t="s">
        <v>438</v>
      </c>
      <c r="B12" s="8" t="s">
        <v>439</v>
      </c>
      <c r="C12" s="34" t="s">
        <v>454</v>
      </c>
      <c r="D12" s="8" t="s">
        <v>455</v>
      </c>
      <c r="E12" s="20"/>
      <c r="F12" s="20"/>
      <c r="G12" s="20"/>
      <c r="H12" s="20"/>
      <c r="I12" s="20"/>
      <c r="J12" s="24" t="n">
        <f aca="false">IFERROR(INDEX(Reference!$A$29:$A$31,MATCH($F12,Reference!$B$29:$B$31,0)),0)</f>
        <v>0</v>
      </c>
      <c r="K12" s="24" t="n">
        <f aca="false">IFERROR(INDEX(Reference!$A$22:$A$25,MATCH($G12,Reference!$B$22:$B$25,0)),-1)</f>
        <v>-1</v>
      </c>
      <c r="L12" s="24" t="n">
        <f aca="false">IF($K12&lt;&gt;3,$K12,IF(LOWER($I12)="y",2,IF($H12="",2,IF(OR('1 Context'!$C$7="",NOT(ISNUMBER(DATEVALUE(TEXT($H12,"yyyy-mm-dd"))))),2,IF(DATEDIF(DATEVALUE(TEXT($H12,"yyyy-mm-dd")),'1 Context'!$C$7,"m")&gt;12,2,3)))))</f>
        <v>-1</v>
      </c>
      <c r="M12" s="24" t="n">
        <f aca="false">IF(AND(LOWER($E12)="y",$J12&gt;0,$K12&gt;=0),1,0)</f>
        <v>0</v>
      </c>
      <c r="N12" s="37" t="n">
        <v>1.6</v>
      </c>
      <c r="O12" s="35" t="n">
        <f aca="false">IF($M12=0,0,$J12*$N12*(3-$L12))</f>
        <v>0</v>
      </c>
      <c r="P12" s="24" t="n">
        <f aca="false">IF(AND($M12=1,$J12=3,$L12=0),1,0)</f>
        <v>0</v>
      </c>
      <c r="Q12" s="38" t="str">
        <f aca="false">IF(AND($M12=1,$K12=3,$L12&lt;3),IF(LOWER($I12)="y","reverted to 2: proof superseded by a declared change",IF($H12="","reverted to 2: no proof date recorded","reverted to 2: last proven more than 12 months ago")),"")</f>
        <v/>
      </c>
    </row>
    <row r="13" customFormat="false" ht="15" hidden="false" customHeight="false" outlineLevel="0" collapsed="false">
      <c r="A13" s="34" t="s">
        <v>456</v>
      </c>
      <c r="B13" s="8" t="s">
        <v>457</v>
      </c>
      <c r="C13" s="34" t="s">
        <v>440</v>
      </c>
      <c r="D13" s="8" t="s">
        <v>441</v>
      </c>
      <c r="E13" s="20"/>
      <c r="F13" s="20"/>
      <c r="G13" s="20"/>
      <c r="H13" s="20"/>
      <c r="I13" s="20"/>
      <c r="J13" s="24" t="n">
        <f aca="false">IFERROR(INDEX(Reference!$A$29:$A$31,MATCH($F13,Reference!$B$29:$B$31,0)),0)</f>
        <v>0</v>
      </c>
      <c r="K13" s="24" t="n">
        <f aca="false">IFERROR(INDEX(Reference!$A$22:$A$25,MATCH($G13,Reference!$B$22:$B$25,0)),-1)</f>
        <v>-1</v>
      </c>
      <c r="L13" s="24" t="n">
        <f aca="false">IF($K13&lt;&gt;3,$K13,IF(LOWER($I13)="y",2,IF($H13="",2,IF(OR('1 Context'!$C$7="",NOT(ISNUMBER(DATEVALUE(TEXT($H13,"yyyy-mm-dd"))))),2,IF(DATEDIF(DATEVALUE(TEXT($H13,"yyyy-mm-dd")),'1 Context'!$C$7,"m")&gt;12,2,3)))))</f>
        <v>-1</v>
      </c>
      <c r="M13" s="24" t="n">
        <f aca="false">IF(AND(LOWER($E13)="y",$J13&gt;0,$K13&gt;=0),1,0)</f>
        <v>0</v>
      </c>
      <c r="N13" s="37" t="n">
        <v>1.5</v>
      </c>
      <c r="O13" s="35" t="n">
        <f aca="false">IF($M13=0,0,$J13*$N13*(3-$L13))</f>
        <v>0</v>
      </c>
      <c r="P13" s="24" t="n">
        <f aca="false">IF(AND($M13=1,$J13=3,$L13=0),1,0)</f>
        <v>0</v>
      </c>
      <c r="Q13" s="38" t="str">
        <f aca="false">IF(AND($M13=1,$K13=3,$L13&lt;3),IF(LOWER($I13)="y","reverted to 2: proof superseded by a declared change",IF($H13="","reverted to 2: no proof date recorded","reverted to 2: last proven more than 12 months ago")),"")</f>
        <v/>
      </c>
    </row>
    <row r="14" customFormat="false" ht="15" hidden="false" customHeight="false" outlineLevel="0" collapsed="false">
      <c r="A14" s="34" t="s">
        <v>456</v>
      </c>
      <c r="B14" s="8" t="s">
        <v>457</v>
      </c>
      <c r="C14" s="34" t="s">
        <v>442</v>
      </c>
      <c r="D14" s="8" t="s">
        <v>443</v>
      </c>
      <c r="E14" s="20"/>
      <c r="F14" s="20"/>
      <c r="G14" s="20"/>
      <c r="H14" s="20"/>
      <c r="I14" s="20"/>
      <c r="J14" s="24" t="n">
        <f aca="false">IFERROR(INDEX(Reference!$A$29:$A$31,MATCH($F14,Reference!$B$29:$B$31,0)),0)</f>
        <v>0</v>
      </c>
      <c r="K14" s="24" t="n">
        <f aca="false">IFERROR(INDEX(Reference!$A$22:$A$25,MATCH($G14,Reference!$B$22:$B$25,0)),-1)</f>
        <v>-1</v>
      </c>
      <c r="L14" s="24" t="n">
        <f aca="false">IF($K14&lt;&gt;3,$K14,IF(LOWER($I14)="y",2,IF($H14="",2,IF(OR('1 Context'!$C$7="",NOT(ISNUMBER(DATEVALUE(TEXT($H14,"yyyy-mm-dd"))))),2,IF(DATEDIF(DATEVALUE(TEXT($H14,"yyyy-mm-dd")),'1 Context'!$C$7,"m")&gt;12,2,3)))))</f>
        <v>-1</v>
      </c>
      <c r="M14" s="24" t="n">
        <f aca="false">IF(AND(LOWER($E14)="y",$J14&gt;0,$K14&gt;=0),1,0)</f>
        <v>0</v>
      </c>
      <c r="N14" s="37" t="n">
        <v>1.5</v>
      </c>
      <c r="O14" s="35" t="n">
        <f aca="false">IF($M14=0,0,$J14*$N14*(3-$L14))</f>
        <v>0</v>
      </c>
      <c r="P14" s="24" t="n">
        <f aca="false">IF(AND($M14=1,$J14=3,$L14=0),1,0)</f>
        <v>0</v>
      </c>
      <c r="Q14" s="38" t="str">
        <f aca="false">IF(AND($M14=1,$K14=3,$L14&lt;3),IF(LOWER($I14)="y","reverted to 2: proof superseded by a declared change",IF($H14="","reverted to 2: no proof date recorded","reverted to 2: last proven more than 12 months ago")),"")</f>
        <v/>
      </c>
    </row>
    <row r="15" customFormat="false" ht="15" hidden="false" customHeight="false" outlineLevel="0" collapsed="false">
      <c r="A15" s="34" t="s">
        <v>456</v>
      </c>
      <c r="B15" s="8" t="s">
        <v>457</v>
      </c>
      <c r="C15" s="34" t="s">
        <v>444</v>
      </c>
      <c r="D15" s="8" t="s">
        <v>445</v>
      </c>
      <c r="E15" s="20"/>
      <c r="F15" s="20"/>
      <c r="G15" s="20"/>
      <c r="H15" s="20"/>
      <c r="I15" s="20"/>
      <c r="J15" s="24" t="n">
        <f aca="false">IFERROR(INDEX(Reference!$A$29:$A$31,MATCH($F15,Reference!$B$29:$B$31,0)),0)</f>
        <v>0</v>
      </c>
      <c r="K15" s="24" t="n">
        <f aca="false">IFERROR(INDEX(Reference!$A$22:$A$25,MATCH($G15,Reference!$B$22:$B$25,0)),-1)</f>
        <v>-1</v>
      </c>
      <c r="L15" s="24" t="n">
        <f aca="false">IF($K15&lt;&gt;3,$K15,IF(LOWER($I15)="y",2,IF($H15="",2,IF(OR('1 Context'!$C$7="",NOT(ISNUMBER(DATEVALUE(TEXT($H15,"yyyy-mm-dd"))))),2,IF(DATEDIF(DATEVALUE(TEXT($H15,"yyyy-mm-dd")),'1 Context'!$C$7,"m")&gt;12,2,3)))))</f>
        <v>-1</v>
      </c>
      <c r="M15" s="24" t="n">
        <f aca="false">IF(AND(LOWER($E15)="y",$J15&gt;0,$K15&gt;=0),1,0)</f>
        <v>0</v>
      </c>
      <c r="N15" s="37" t="n">
        <v>1.5</v>
      </c>
      <c r="O15" s="35" t="n">
        <f aca="false">IF($M15=0,0,$J15*$N15*(3-$L15))</f>
        <v>0</v>
      </c>
      <c r="P15" s="24" t="n">
        <f aca="false">IF(AND($M15=1,$J15=3,$L15=0),1,0)</f>
        <v>0</v>
      </c>
      <c r="Q15" s="38" t="str">
        <f aca="false">IF(AND($M15=1,$K15=3,$L15&lt;3),IF(LOWER($I15)="y","reverted to 2: proof superseded by a declared change",IF($H15="","reverted to 2: no proof date recorded","reverted to 2: last proven more than 12 months ago")),"")</f>
        <v/>
      </c>
    </row>
    <row r="16" customFormat="false" ht="15" hidden="false" customHeight="false" outlineLevel="0" collapsed="false">
      <c r="A16" s="34" t="s">
        <v>456</v>
      </c>
      <c r="B16" s="8" t="s">
        <v>457</v>
      </c>
      <c r="C16" s="34" t="s">
        <v>446</v>
      </c>
      <c r="D16" s="8" t="s">
        <v>447</v>
      </c>
      <c r="E16" s="20"/>
      <c r="F16" s="20"/>
      <c r="G16" s="20"/>
      <c r="H16" s="20"/>
      <c r="I16" s="20"/>
      <c r="J16" s="24" t="n">
        <f aca="false">IFERROR(INDEX(Reference!$A$29:$A$31,MATCH($F16,Reference!$B$29:$B$31,0)),0)</f>
        <v>0</v>
      </c>
      <c r="K16" s="24" t="n">
        <f aca="false">IFERROR(INDEX(Reference!$A$22:$A$25,MATCH($G16,Reference!$B$22:$B$25,0)),-1)</f>
        <v>-1</v>
      </c>
      <c r="L16" s="24" t="n">
        <f aca="false">IF($K16&lt;&gt;3,$K16,IF(LOWER($I16)="y",2,IF($H16="",2,IF(OR('1 Context'!$C$7="",NOT(ISNUMBER(DATEVALUE(TEXT($H16,"yyyy-mm-dd"))))),2,IF(DATEDIF(DATEVALUE(TEXT($H16,"yyyy-mm-dd")),'1 Context'!$C$7,"m")&gt;12,2,3)))))</f>
        <v>-1</v>
      </c>
      <c r="M16" s="24" t="n">
        <f aca="false">IF(AND(LOWER($E16)="y",$J16&gt;0,$K16&gt;=0),1,0)</f>
        <v>0</v>
      </c>
      <c r="N16" s="37" t="n">
        <v>1.5</v>
      </c>
      <c r="O16" s="35" t="n">
        <f aca="false">IF($M16=0,0,$J16*$N16*(3-$L16))</f>
        <v>0</v>
      </c>
      <c r="P16" s="24" t="n">
        <f aca="false">IF(AND($M16=1,$J16=3,$L16=0),1,0)</f>
        <v>0</v>
      </c>
      <c r="Q16" s="38" t="str">
        <f aca="false">IF(AND($M16=1,$K16=3,$L16&lt;3),IF(LOWER($I16)="y","reverted to 2: proof superseded by a declared change",IF($H16="","reverted to 2: no proof date recorded","reverted to 2: last proven more than 12 months ago")),"")</f>
        <v/>
      </c>
    </row>
    <row r="17" customFormat="false" ht="15" hidden="false" customHeight="false" outlineLevel="0" collapsed="false">
      <c r="A17" s="34" t="s">
        <v>456</v>
      </c>
      <c r="B17" s="8" t="s">
        <v>457</v>
      </c>
      <c r="C17" s="34" t="s">
        <v>448</v>
      </c>
      <c r="D17" s="8" t="s">
        <v>449</v>
      </c>
      <c r="E17" s="20"/>
      <c r="F17" s="20"/>
      <c r="G17" s="20"/>
      <c r="H17" s="20"/>
      <c r="I17" s="20"/>
      <c r="J17" s="24" t="n">
        <f aca="false">IFERROR(INDEX(Reference!$A$29:$A$31,MATCH($F17,Reference!$B$29:$B$31,0)),0)</f>
        <v>0</v>
      </c>
      <c r="K17" s="24" t="n">
        <f aca="false">IFERROR(INDEX(Reference!$A$22:$A$25,MATCH($G17,Reference!$B$22:$B$25,0)),-1)</f>
        <v>-1</v>
      </c>
      <c r="L17" s="24" t="n">
        <f aca="false">IF($K17&lt;&gt;3,$K17,IF(LOWER($I17)="y",2,IF($H17="",2,IF(OR('1 Context'!$C$7="",NOT(ISNUMBER(DATEVALUE(TEXT($H17,"yyyy-mm-dd"))))),2,IF(DATEDIF(DATEVALUE(TEXT($H17,"yyyy-mm-dd")),'1 Context'!$C$7,"m")&gt;12,2,3)))))</f>
        <v>-1</v>
      </c>
      <c r="M17" s="24" t="n">
        <f aca="false">IF(AND(LOWER($E17)="y",$J17&gt;0,$K17&gt;=0),1,0)</f>
        <v>0</v>
      </c>
      <c r="N17" s="37" t="n">
        <v>1.5</v>
      </c>
      <c r="O17" s="35" t="n">
        <f aca="false">IF($M17=0,0,$J17*$N17*(3-$L17))</f>
        <v>0</v>
      </c>
      <c r="P17" s="24" t="n">
        <f aca="false">IF(AND($M17=1,$J17=3,$L17=0),1,0)</f>
        <v>0</v>
      </c>
      <c r="Q17" s="38" t="str">
        <f aca="false">IF(AND($M17=1,$K17=3,$L17&lt;3),IF(LOWER($I17)="y","reverted to 2: proof superseded by a declared change",IF($H17="","reverted to 2: no proof date recorded","reverted to 2: last proven more than 12 months ago")),"")</f>
        <v/>
      </c>
    </row>
    <row r="18" customFormat="false" ht="15" hidden="false" customHeight="false" outlineLevel="0" collapsed="false">
      <c r="A18" s="34" t="s">
        <v>456</v>
      </c>
      <c r="B18" s="8" t="s">
        <v>457</v>
      </c>
      <c r="C18" s="34" t="s">
        <v>450</v>
      </c>
      <c r="D18" s="8" t="s">
        <v>451</v>
      </c>
      <c r="E18" s="20"/>
      <c r="F18" s="20"/>
      <c r="G18" s="20"/>
      <c r="H18" s="20"/>
      <c r="I18" s="20"/>
      <c r="J18" s="24" t="n">
        <f aca="false">IFERROR(INDEX(Reference!$A$29:$A$31,MATCH($F18,Reference!$B$29:$B$31,0)),0)</f>
        <v>0</v>
      </c>
      <c r="K18" s="24" t="n">
        <f aca="false">IFERROR(INDEX(Reference!$A$22:$A$25,MATCH($G18,Reference!$B$22:$B$25,0)),-1)</f>
        <v>-1</v>
      </c>
      <c r="L18" s="24" t="n">
        <f aca="false">IF($K18&lt;&gt;3,$K18,IF(LOWER($I18)="y",2,IF($H18="",2,IF(OR('1 Context'!$C$7="",NOT(ISNUMBER(DATEVALUE(TEXT($H18,"yyyy-mm-dd"))))),2,IF(DATEDIF(DATEVALUE(TEXT($H18,"yyyy-mm-dd")),'1 Context'!$C$7,"m")&gt;12,2,3)))))</f>
        <v>-1</v>
      </c>
      <c r="M18" s="24" t="n">
        <f aca="false">IF(AND(LOWER($E18)="y",$J18&gt;0,$K18&gt;=0),1,0)</f>
        <v>0</v>
      </c>
      <c r="N18" s="37" t="n">
        <v>1.5</v>
      </c>
      <c r="O18" s="35" t="n">
        <f aca="false">IF($M18=0,0,$J18*$N18*(3-$L18))</f>
        <v>0</v>
      </c>
      <c r="P18" s="24" t="n">
        <f aca="false">IF(AND($M18=1,$J18=3,$L18=0),1,0)</f>
        <v>0</v>
      </c>
      <c r="Q18" s="38" t="str">
        <f aca="false">IF(AND($M18=1,$K18=3,$L18&lt;3),IF(LOWER($I18)="y","reverted to 2: proof superseded by a declared change",IF($H18="","reverted to 2: no proof date recorded","reverted to 2: last proven more than 12 months ago")),"")</f>
        <v/>
      </c>
    </row>
    <row r="19" customFormat="false" ht="15" hidden="false" customHeight="false" outlineLevel="0" collapsed="false">
      <c r="A19" s="34" t="s">
        <v>456</v>
      </c>
      <c r="B19" s="8" t="s">
        <v>457</v>
      </c>
      <c r="C19" s="34" t="s">
        <v>452</v>
      </c>
      <c r="D19" s="8" t="s">
        <v>453</v>
      </c>
      <c r="E19" s="20"/>
      <c r="F19" s="20"/>
      <c r="G19" s="20"/>
      <c r="H19" s="20"/>
      <c r="I19" s="20"/>
      <c r="J19" s="24" t="n">
        <f aca="false">IFERROR(INDEX(Reference!$A$29:$A$31,MATCH($F19,Reference!$B$29:$B$31,0)),0)</f>
        <v>0</v>
      </c>
      <c r="K19" s="24" t="n">
        <f aca="false">IFERROR(INDEX(Reference!$A$22:$A$25,MATCH($G19,Reference!$B$22:$B$25,0)),-1)</f>
        <v>-1</v>
      </c>
      <c r="L19" s="24" t="n">
        <f aca="false">IF($K19&lt;&gt;3,$K19,IF(LOWER($I19)="y",2,IF($H19="",2,IF(OR('1 Context'!$C$7="",NOT(ISNUMBER(DATEVALUE(TEXT($H19,"yyyy-mm-dd"))))),2,IF(DATEDIF(DATEVALUE(TEXT($H19,"yyyy-mm-dd")),'1 Context'!$C$7,"m")&gt;12,2,3)))))</f>
        <v>-1</v>
      </c>
      <c r="M19" s="24" t="n">
        <f aca="false">IF(AND(LOWER($E19)="y",$J19&gt;0,$K19&gt;=0),1,0)</f>
        <v>0</v>
      </c>
      <c r="N19" s="37" t="n">
        <v>1.5</v>
      </c>
      <c r="O19" s="35" t="n">
        <f aca="false">IF($M19=0,0,$J19*$N19*(3-$L19))</f>
        <v>0</v>
      </c>
      <c r="P19" s="24" t="n">
        <f aca="false">IF(AND($M19=1,$J19=3,$L19=0),1,0)</f>
        <v>0</v>
      </c>
      <c r="Q19" s="38" t="str">
        <f aca="false">IF(AND($M19=1,$K19=3,$L19&lt;3),IF(LOWER($I19)="y","reverted to 2: proof superseded by a declared change",IF($H19="","reverted to 2: no proof date recorded","reverted to 2: last proven more than 12 months ago")),"")</f>
        <v/>
      </c>
    </row>
    <row r="20" customFormat="false" ht="15" hidden="false" customHeight="false" outlineLevel="0" collapsed="false">
      <c r="A20" s="34" t="s">
        <v>456</v>
      </c>
      <c r="B20" s="8" t="s">
        <v>457</v>
      </c>
      <c r="C20" s="34" t="s">
        <v>454</v>
      </c>
      <c r="D20" s="8" t="s">
        <v>455</v>
      </c>
      <c r="E20" s="20"/>
      <c r="F20" s="20"/>
      <c r="G20" s="20"/>
      <c r="H20" s="20"/>
      <c r="I20" s="20"/>
      <c r="J20" s="24" t="n">
        <f aca="false">IFERROR(INDEX(Reference!$A$29:$A$31,MATCH($F20,Reference!$B$29:$B$31,0)),0)</f>
        <v>0</v>
      </c>
      <c r="K20" s="24" t="n">
        <f aca="false">IFERROR(INDEX(Reference!$A$22:$A$25,MATCH($G20,Reference!$B$22:$B$25,0)),-1)</f>
        <v>-1</v>
      </c>
      <c r="L20" s="24" t="n">
        <f aca="false">IF($K20&lt;&gt;3,$K20,IF(LOWER($I20)="y",2,IF($H20="",2,IF(OR('1 Context'!$C$7="",NOT(ISNUMBER(DATEVALUE(TEXT($H20,"yyyy-mm-dd"))))),2,IF(DATEDIF(DATEVALUE(TEXT($H20,"yyyy-mm-dd")),'1 Context'!$C$7,"m")&gt;12,2,3)))))</f>
        <v>-1</v>
      </c>
      <c r="M20" s="24" t="n">
        <f aca="false">IF(AND(LOWER($E20)="y",$J20&gt;0,$K20&gt;=0),1,0)</f>
        <v>0</v>
      </c>
      <c r="N20" s="37" t="n">
        <v>1.5</v>
      </c>
      <c r="O20" s="35" t="n">
        <f aca="false">IF($M20=0,0,$J20*$N20*(3-$L20))</f>
        <v>0</v>
      </c>
      <c r="P20" s="24" t="n">
        <f aca="false">IF(AND($M20=1,$J20=3,$L20=0),1,0)</f>
        <v>0</v>
      </c>
      <c r="Q20" s="38" t="str">
        <f aca="false">IF(AND($M20=1,$K20=3,$L20&lt;3),IF(LOWER($I20)="y","reverted to 2: proof superseded by a declared change",IF($H20="","reverted to 2: no proof date recorded","reverted to 2: last proven more than 12 months ago")),"")</f>
        <v/>
      </c>
    </row>
    <row r="21" customFormat="false" ht="15" hidden="false" customHeight="false" outlineLevel="0" collapsed="false">
      <c r="A21" s="34" t="s">
        <v>458</v>
      </c>
      <c r="B21" s="8" t="s">
        <v>459</v>
      </c>
      <c r="C21" s="34" t="s">
        <v>440</v>
      </c>
      <c r="D21" s="8" t="s">
        <v>441</v>
      </c>
      <c r="E21" s="20"/>
      <c r="F21" s="20"/>
      <c r="G21" s="20"/>
      <c r="H21" s="20"/>
      <c r="I21" s="20"/>
      <c r="J21" s="24" t="n">
        <f aca="false">IFERROR(INDEX(Reference!$A$29:$A$31,MATCH($F21,Reference!$B$29:$B$31,0)),0)</f>
        <v>0</v>
      </c>
      <c r="K21" s="24" t="n">
        <f aca="false">IFERROR(INDEX(Reference!$A$22:$A$25,MATCH($G21,Reference!$B$22:$B$25,0)),-1)</f>
        <v>-1</v>
      </c>
      <c r="L21" s="24" t="n">
        <f aca="false">IF($K21&lt;&gt;3,$K21,IF(LOWER($I21)="y",2,IF($H21="",2,IF(OR('1 Context'!$C$7="",NOT(ISNUMBER(DATEVALUE(TEXT($H21,"yyyy-mm-dd"))))),2,IF(DATEDIF(DATEVALUE(TEXT($H21,"yyyy-mm-dd")),'1 Context'!$C$7,"m")&gt;12,2,3)))))</f>
        <v>-1</v>
      </c>
      <c r="M21" s="24" t="n">
        <f aca="false">IF(AND(LOWER($E21)="y",$J21&gt;0,$K21&gt;=0),1,0)</f>
        <v>0</v>
      </c>
      <c r="N21" s="37" t="n">
        <v>1.4</v>
      </c>
      <c r="O21" s="35" t="n">
        <f aca="false">IF($M21=0,0,$J21*$N21*(3-$L21))</f>
        <v>0</v>
      </c>
      <c r="P21" s="24" t="n">
        <f aca="false">IF(AND($M21=1,$J21=3,$L21=0),1,0)</f>
        <v>0</v>
      </c>
      <c r="Q21" s="38" t="str">
        <f aca="false">IF(AND($M21=1,$K21=3,$L21&lt;3),IF(LOWER($I21)="y","reverted to 2: proof superseded by a declared change",IF($H21="","reverted to 2: no proof date recorded","reverted to 2: last proven more than 12 months ago")),"")</f>
        <v/>
      </c>
    </row>
    <row r="22" customFormat="false" ht="15" hidden="false" customHeight="false" outlineLevel="0" collapsed="false">
      <c r="A22" s="34" t="s">
        <v>458</v>
      </c>
      <c r="B22" s="8" t="s">
        <v>459</v>
      </c>
      <c r="C22" s="34" t="s">
        <v>442</v>
      </c>
      <c r="D22" s="8" t="s">
        <v>443</v>
      </c>
      <c r="E22" s="20"/>
      <c r="F22" s="20"/>
      <c r="G22" s="20"/>
      <c r="H22" s="20"/>
      <c r="I22" s="20"/>
      <c r="J22" s="24" t="n">
        <f aca="false">IFERROR(INDEX(Reference!$A$29:$A$31,MATCH($F22,Reference!$B$29:$B$31,0)),0)</f>
        <v>0</v>
      </c>
      <c r="K22" s="24" t="n">
        <f aca="false">IFERROR(INDEX(Reference!$A$22:$A$25,MATCH($G22,Reference!$B$22:$B$25,0)),-1)</f>
        <v>-1</v>
      </c>
      <c r="L22" s="24" t="n">
        <f aca="false">IF($K22&lt;&gt;3,$K22,IF(LOWER($I22)="y",2,IF($H22="",2,IF(OR('1 Context'!$C$7="",NOT(ISNUMBER(DATEVALUE(TEXT($H22,"yyyy-mm-dd"))))),2,IF(DATEDIF(DATEVALUE(TEXT($H22,"yyyy-mm-dd")),'1 Context'!$C$7,"m")&gt;12,2,3)))))</f>
        <v>-1</v>
      </c>
      <c r="M22" s="24" t="n">
        <f aca="false">IF(AND(LOWER($E22)="y",$J22&gt;0,$K22&gt;=0),1,0)</f>
        <v>0</v>
      </c>
      <c r="N22" s="37" t="n">
        <v>1.4</v>
      </c>
      <c r="O22" s="35" t="n">
        <f aca="false">IF($M22=0,0,$J22*$N22*(3-$L22))</f>
        <v>0</v>
      </c>
      <c r="P22" s="24" t="n">
        <f aca="false">IF(AND($M22=1,$J22=3,$L22=0),1,0)</f>
        <v>0</v>
      </c>
      <c r="Q22" s="38" t="str">
        <f aca="false">IF(AND($M22=1,$K22=3,$L22&lt;3),IF(LOWER($I22)="y","reverted to 2: proof superseded by a declared change",IF($H22="","reverted to 2: no proof date recorded","reverted to 2: last proven more than 12 months ago")),"")</f>
        <v/>
      </c>
    </row>
    <row r="23" customFormat="false" ht="15" hidden="false" customHeight="false" outlineLevel="0" collapsed="false">
      <c r="A23" s="34" t="s">
        <v>458</v>
      </c>
      <c r="B23" s="8" t="s">
        <v>459</v>
      </c>
      <c r="C23" s="34" t="s">
        <v>444</v>
      </c>
      <c r="D23" s="8" t="s">
        <v>445</v>
      </c>
      <c r="E23" s="20"/>
      <c r="F23" s="20"/>
      <c r="G23" s="20"/>
      <c r="H23" s="20"/>
      <c r="I23" s="20"/>
      <c r="J23" s="24" t="n">
        <f aca="false">IFERROR(INDEX(Reference!$A$29:$A$31,MATCH($F23,Reference!$B$29:$B$31,0)),0)</f>
        <v>0</v>
      </c>
      <c r="K23" s="24" t="n">
        <f aca="false">IFERROR(INDEX(Reference!$A$22:$A$25,MATCH($G23,Reference!$B$22:$B$25,0)),-1)</f>
        <v>-1</v>
      </c>
      <c r="L23" s="24" t="n">
        <f aca="false">IF($K23&lt;&gt;3,$K23,IF(LOWER($I23)="y",2,IF($H23="",2,IF(OR('1 Context'!$C$7="",NOT(ISNUMBER(DATEVALUE(TEXT($H23,"yyyy-mm-dd"))))),2,IF(DATEDIF(DATEVALUE(TEXT($H23,"yyyy-mm-dd")),'1 Context'!$C$7,"m")&gt;12,2,3)))))</f>
        <v>-1</v>
      </c>
      <c r="M23" s="24" t="n">
        <f aca="false">IF(AND(LOWER($E23)="y",$J23&gt;0,$K23&gt;=0),1,0)</f>
        <v>0</v>
      </c>
      <c r="N23" s="37" t="n">
        <v>1.4</v>
      </c>
      <c r="O23" s="35" t="n">
        <f aca="false">IF($M23=0,0,$J23*$N23*(3-$L23))</f>
        <v>0</v>
      </c>
      <c r="P23" s="24" t="n">
        <f aca="false">IF(AND($M23=1,$J23=3,$L23=0),1,0)</f>
        <v>0</v>
      </c>
      <c r="Q23" s="38" t="str">
        <f aca="false">IF(AND($M23=1,$K23=3,$L23&lt;3),IF(LOWER($I23)="y","reverted to 2: proof superseded by a declared change",IF($H23="","reverted to 2: no proof date recorded","reverted to 2: last proven more than 12 months ago")),"")</f>
        <v/>
      </c>
    </row>
    <row r="24" customFormat="false" ht="15" hidden="false" customHeight="false" outlineLevel="0" collapsed="false">
      <c r="A24" s="34" t="s">
        <v>458</v>
      </c>
      <c r="B24" s="8" t="s">
        <v>459</v>
      </c>
      <c r="C24" s="34" t="s">
        <v>446</v>
      </c>
      <c r="D24" s="8" t="s">
        <v>447</v>
      </c>
      <c r="E24" s="20"/>
      <c r="F24" s="20"/>
      <c r="G24" s="20"/>
      <c r="H24" s="20"/>
      <c r="I24" s="20"/>
      <c r="J24" s="24" t="n">
        <f aca="false">IFERROR(INDEX(Reference!$A$29:$A$31,MATCH($F24,Reference!$B$29:$B$31,0)),0)</f>
        <v>0</v>
      </c>
      <c r="K24" s="24" t="n">
        <f aca="false">IFERROR(INDEX(Reference!$A$22:$A$25,MATCH($G24,Reference!$B$22:$B$25,0)),-1)</f>
        <v>-1</v>
      </c>
      <c r="L24" s="24" t="n">
        <f aca="false">IF($K24&lt;&gt;3,$K24,IF(LOWER($I24)="y",2,IF($H24="",2,IF(OR('1 Context'!$C$7="",NOT(ISNUMBER(DATEVALUE(TEXT($H24,"yyyy-mm-dd"))))),2,IF(DATEDIF(DATEVALUE(TEXT($H24,"yyyy-mm-dd")),'1 Context'!$C$7,"m")&gt;12,2,3)))))</f>
        <v>-1</v>
      </c>
      <c r="M24" s="24" t="n">
        <f aca="false">IF(AND(LOWER($E24)="y",$J24&gt;0,$K24&gt;=0),1,0)</f>
        <v>0</v>
      </c>
      <c r="N24" s="37" t="n">
        <v>1.4</v>
      </c>
      <c r="O24" s="35" t="n">
        <f aca="false">IF($M24=0,0,$J24*$N24*(3-$L24))</f>
        <v>0</v>
      </c>
      <c r="P24" s="24" t="n">
        <f aca="false">IF(AND($M24=1,$J24=3,$L24=0),1,0)</f>
        <v>0</v>
      </c>
      <c r="Q24" s="38" t="str">
        <f aca="false">IF(AND($M24=1,$K24=3,$L24&lt;3),IF(LOWER($I24)="y","reverted to 2: proof superseded by a declared change",IF($H24="","reverted to 2: no proof date recorded","reverted to 2: last proven more than 12 months ago")),"")</f>
        <v/>
      </c>
    </row>
    <row r="25" customFormat="false" ht="15" hidden="false" customHeight="false" outlineLevel="0" collapsed="false">
      <c r="A25" s="34" t="s">
        <v>458</v>
      </c>
      <c r="B25" s="8" t="s">
        <v>459</v>
      </c>
      <c r="C25" s="34" t="s">
        <v>448</v>
      </c>
      <c r="D25" s="8" t="s">
        <v>449</v>
      </c>
      <c r="E25" s="20"/>
      <c r="F25" s="20"/>
      <c r="G25" s="20"/>
      <c r="H25" s="20"/>
      <c r="I25" s="20"/>
      <c r="J25" s="24" t="n">
        <f aca="false">IFERROR(INDEX(Reference!$A$29:$A$31,MATCH($F25,Reference!$B$29:$B$31,0)),0)</f>
        <v>0</v>
      </c>
      <c r="K25" s="24" t="n">
        <f aca="false">IFERROR(INDEX(Reference!$A$22:$A$25,MATCH($G25,Reference!$B$22:$B$25,0)),-1)</f>
        <v>-1</v>
      </c>
      <c r="L25" s="24" t="n">
        <f aca="false">IF($K25&lt;&gt;3,$K25,IF(LOWER($I25)="y",2,IF($H25="",2,IF(OR('1 Context'!$C$7="",NOT(ISNUMBER(DATEVALUE(TEXT($H25,"yyyy-mm-dd"))))),2,IF(DATEDIF(DATEVALUE(TEXT($H25,"yyyy-mm-dd")),'1 Context'!$C$7,"m")&gt;12,2,3)))))</f>
        <v>-1</v>
      </c>
      <c r="M25" s="24" t="n">
        <f aca="false">IF(AND(LOWER($E25)="y",$J25&gt;0,$K25&gt;=0),1,0)</f>
        <v>0</v>
      </c>
      <c r="N25" s="37" t="n">
        <v>1.4</v>
      </c>
      <c r="O25" s="35" t="n">
        <f aca="false">IF($M25=0,0,$J25*$N25*(3-$L25))</f>
        <v>0</v>
      </c>
      <c r="P25" s="24" t="n">
        <f aca="false">IF(AND($M25=1,$J25=3,$L25=0),1,0)</f>
        <v>0</v>
      </c>
      <c r="Q25" s="38" t="str">
        <f aca="false">IF(AND($M25=1,$K25=3,$L25&lt;3),IF(LOWER($I25)="y","reverted to 2: proof superseded by a declared change",IF($H25="","reverted to 2: no proof date recorded","reverted to 2: last proven more than 12 months ago")),"")</f>
        <v/>
      </c>
    </row>
    <row r="26" customFormat="false" ht="15" hidden="false" customHeight="false" outlineLevel="0" collapsed="false">
      <c r="A26" s="34" t="s">
        <v>458</v>
      </c>
      <c r="B26" s="8" t="s">
        <v>459</v>
      </c>
      <c r="C26" s="34" t="s">
        <v>450</v>
      </c>
      <c r="D26" s="8" t="s">
        <v>451</v>
      </c>
      <c r="E26" s="20"/>
      <c r="F26" s="20"/>
      <c r="G26" s="20"/>
      <c r="H26" s="20"/>
      <c r="I26" s="20"/>
      <c r="J26" s="24" t="n">
        <f aca="false">IFERROR(INDEX(Reference!$A$29:$A$31,MATCH($F26,Reference!$B$29:$B$31,0)),0)</f>
        <v>0</v>
      </c>
      <c r="K26" s="24" t="n">
        <f aca="false">IFERROR(INDEX(Reference!$A$22:$A$25,MATCH($G26,Reference!$B$22:$B$25,0)),-1)</f>
        <v>-1</v>
      </c>
      <c r="L26" s="24" t="n">
        <f aca="false">IF($K26&lt;&gt;3,$K26,IF(LOWER($I26)="y",2,IF($H26="",2,IF(OR('1 Context'!$C$7="",NOT(ISNUMBER(DATEVALUE(TEXT($H26,"yyyy-mm-dd"))))),2,IF(DATEDIF(DATEVALUE(TEXT($H26,"yyyy-mm-dd")),'1 Context'!$C$7,"m")&gt;12,2,3)))))</f>
        <v>-1</v>
      </c>
      <c r="M26" s="24" t="n">
        <f aca="false">IF(AND(LOWER($E26)="y",$J26&gt;0,$K26&gt;=0),1,0)</f>
        <v>0</v>
      </c>
      <c r="N26" s="37" t="n">
        <v>1.4</v>
      </c>
      <c r="O26" s="35" t="n">
        <f aca="false">IF($M26=0,0,$J26*$N26*(3-$L26))</f>
        <v>0</v>
      </c>
      <c r="P26" s="24" t="n">
        <f aca="false">IF(AND($M26=1,$J26=3,$L26=0),1,0)</f>
        <v>0</v>
      </c>
      <c r="Q26" s="38" t="str">
        <f aca="false">IF(AND($M26=1,$K26=3,$L26&lt;3),IF(LOWER($I26)="y","reverted to 2: proof superseded by a declared change",IF($H26="","reverted to 2: no proof date recorded","reverted to 2: last proven more than 12 months ago")),"")</f>
        <v/>
      </c>
    </row>
    <row r="27" customFormat="false" ht="15" hidden="false" customHeight="false" outlineLevel="0" collapsed="false">
      <c r="A27" s="34" t="s">
        <v>458</v>
      </c>
      <c r="B27" s="8" t="s">
        <v>459</v>
      </c>
      <c r="C27" s="34" t="s">
        <v>452</v>
      </c>
      <c r="D27" s="8" t="s">
        <v>453</v>
      </c>
      <c r="E27" s="20"/>
      <c r="F27" s="20"/>
      <c r="G27" s="20"/>
      <c r="H27" s="20"/>
      <c r="I27" s="20"/>
      <c r="J27" s="24" t="n">
        <f aca="false">IFERROR(INDEX(Reference!$A$29:$A$31,MATCH($F27,Reference!$B$29:$B$31,0)),0)</f>
        <v>0</v>
      </c>
      <c r="K27" s="24" t="n">
        <f aca="false">IFERROR(INDEX(Reference!$A$22:$A$25,MATCH($G27,Reference!$B$22:$B$25,0)),-1)</f>
        <v>-1</v>
      </c>
      <c r="L27" s="24" t="n">
        <f aca="false">IF($K27&lt;&gt;3,$K27,IF(LOWER($I27)="y",2,IF($H27="",2,IF(OR('1 Context'!$C$7="",NOT(ISNUMBER(DATEVALUE(TEXT($H27,"yyyy-mm-dd"))))),2,IF(DATEDIF(DATEVALUE(TEXT($H27,"yyyy-mm-dd")),'1 Context'!$C$7,"m")&gt;12,2,3)))))</f>
        <v>-1</v>
      </c>
      <c r="M27" s="24" t="n">
        <f aca="false">IF(AND(LOWER($E27)="y",$J27&gt;0,$K27&gt;=0),1,0)</f>
        <v>0</v>
      </c>
      <c r="N27" s="37" t="n">
        <v>1.4</v>
      </c>
      <c r="O27" s="35" t="n">
        <f aca="false">IF($M27=0,0,$J27*$N27*(3-$L27))</f>
        <v>0</v>
      </c>
      <c r="P27" s="24" t="n">
        <f aca="false">IF(AND($M27=1,$J27=3,$L27=0),1,0)</f>
        <v>0</v>
      </c>
      <c r="Q27" s="38" t="str">
        <f aca="false">IF(AND($M27=1,$K27=3,$L27&lt;3),IF(LOWER($I27)="y","reverted to 2: proof superseded by a declared change",IF($H27="","reverted to 2: no proof date recorded","reverted to 2: last proven more than 12 months ago")),"")</f>
        <v/>
      </c>
    </row>
    <row r="28" customFormat="false" ht="15" hidden="false" customHeight="false" outlineLevel="0" collapsed="false">
      <c r="A28" s="34" t="s">
        <v>458</v>
      </c>
      <c r="B28" s="8" t="s">
        <v>459</v>
      </c>
      <c r="C28" s="34" t="s">
        <v>454</v>
      </c>
      <c r="D28" s="8" t="s">
        <v>455</v>
      </c>
      <c r="E28" s="20"/>
      <c r="F28" s="20"/>
      <c r="G28" s="20"/>
      <c r="H28" s="20"/>
      <c r="I28" s="20"/>
      <c r="J28" s="24" t="n">
        <f aca="false">IFERROR(INDEX(Reference!$A$29:$A$31,MATCH($F28,Reference!$B$29:$B$31,0)),0)</f>
        <v>0</v>
      </c>
      <c r="K28" s="24" t="n">
        <f aca="false">IFERROR(INDEX(Reference!$A$22:$A$25,MATCH($G28,Reference!$B$22:$B$25,0)),-1)</f>
        <v>-1</v>
      </c>
      <c r="L28" s="24" t="n">
        <f aca="false">IF($K28&lt;&gt;3,$K28,IF(LOWER($I28)="y",2,IF($H28="",2,IF(OR('1 Context'!$C$7="",NOT(ISNUMBER(DATEVALUE(TEXT($H28,"yyyy-mm-dd"))))),2,IF(DATEDIF(DATEVALUE(TEXT($H28,"yyyy-mm-dd")),'1 Context'!$C$7,"m")&gt;12,2,3)))))</f>
        <v>-1</v>
      </c>
      <c r="M28" s="24" t="n">
        <f aca="false">IF(AND(LOWER($E28)="y",$J28&gt;0,$K28&gt;=0),1,0)</f>
        <v>0</v>
      </c>
      <c r="N28" s="37" t="n">
        <v>1.4</v>
      </c>
      <c r="O28" s="35" t="n">
        <f aca="false">IF($M28=0,0,$J28*$N28*(3-$L28))</f>
        <v>0</v>
      </c>
      <c r="P28" s="24" t="n">
        <f aca="false">IF(AND($M28=1,$J28=3,$L28=0),1,0)</f>
        <v>0</v>
      </c>
      <c r="Q28" s="38" t="str">
        <f aca="false">IF(AND($M28=1,$K28=3,$L28&lt;3),IF(LOWER($I28)="y","reverted to 2: proof superseded by a declared change",IF($H28="","reverted to 2: no proof date recorded","reverted to 2: last proven more than 12 months ago")),"")</f>
        <v/>
      </c>
    </row>
    <row r="29" customFormat="false" ht="23.85" hidden="false" customHeight="false" outlineLevel="0" collapsed="false">
      <c r="A29" s="34" t="s">
        <v>460</v>
      </c>
      <c r="B29" s="8" t="s">
        <v>461</v>
      </c>
      <c r="C29" s="34" t="s">
        <v>440</v>
      </c>
      <c r="D29" s="8" t="s">
        <v>441</v>
      </c>
      <c r="E29" s="20"/>
      <c r="F29" s="20"/>
      <c r="G29" s="20"/>
      <c r="H29" s="20"/>
      <c r="I29" s="20"/>
      <c r="J29" s="24" t="n">
        <f aca="false">IFERROR(INDEX(Reference!$A$29:$A$31,MATCH($F29,Reference!$B$29:$B$31,0)),0)</f>
        <v>0</v>
      </c>
      <c r="K29" s="24" t="n">
        <f aca="false">IFERROR(INDEX(Reference!$A$22:$A$25,MATCH($G29,Reference!$B$22:$B$25,0)),-1)</f>
        <v>-1</v>
      </c>
      <c r="L29" s="24" t="n">
        <f aca="false">IF($K29&lt;&gt;3,$K29,IF(LOWER($I29)="y",2,IF($H29="",2,IF(OR('1 Context'!$C$7="",NOT(ISNUMBER(DATEVALUE(TEXT($H29,"yyyy-mm-dd"))))),2,IF(DATEDIF(DATEVALUE(TEXT($H29,"yyyy-mm-dd")),'1 Context'!$C$7,"m")&gt;12,2,3)))))</f>
        <v>-1</v>
      </c>
      <c r="M29" s="24" t="n">
        <f aca="false">IF(AND(LOWER($E29)="y",$J29&gt;0,$K29&gt;=0),1,0)</f>
        <v>0</v>
      </c>
      <c r="N29" s="37" t="n">
        <v>1.3</v>
      </c>
      <c r="O29" s="35" t="n">
        <f aca="false">IF($M29=0,0,$J29*$N29*(3-$L29))</f>
        <v>0</v>
      </c>
      <c r="P29" s="24" t="n">
        <f aca="false">IF(AND($M29=1,$J29=3,$L29=0),1,0)</f>
        <v>0</v>
      </c>
      <c r="Q29" s="38" t="str">
        <f aca="false">IF(AND($M29=1,$K29=3,$L29&lt;3),IF(LOWER($I29)="y","reverted to 2: proof superseded by a declared change",IF($H29="","reverted to 2: no proof date recorded","reverted to 2: last proven more than 12 months ago")),"")</f>
        <v/>
      </c>
    </row>
    <row r="30" customFormat="false" ht="23.85" hidden="false" customHeight="false" outlineLevel="0" collapsed="false">
      <c r="A30" s="34" t="s">
        <v>460</v>
      </c>
      <c r="B30" s="8" t="s">
        <v>461</v>
      </c>
      <c r="C30" s="34" t="s">
        <v>442</v>
      </c>
      <c r="D30" s="8" t="s">
        <v>443</v>
      </c>
      <c r="E30" s="20"/>
      <c r="F30" s="20"/>
      <c r="G30" s="20"/>
      <c r="H30" s="20"/>
      <c r="I30" s="20"/>
      <c r="J30" s="24" t="n">
        <f aca="false">IFERROR(INDEX(Reference!$A$29:$A$31,MATCH($F30,Reference!$B$29:$B$31,0)),0)</f>
        <v>0</v>
      </c>
      <c r="K30" s="24" t="n">
        <f aca="false">IFERROR(INDEX(Reference!$A$22:$A$25,MATCH($G30,Reference!$B$22:$B$25,0)),-1)</f>
        <v>-1</v>
      </c>
      <c r="L30" s="24" t="n">
        <f aca="false">IF($K30&lt;&gt;3,$K30,IF(LOWER($I30)="y",2,IF($H30="",2,IF(OR('1 Context'!$C$7="",NOT(ISNUMBER(DATEVALUE(TEXT($H30,"yyyy-mm-dd"))))),2,IF(DATEDIF(DATEVALUE(TEXT($H30,"yyyy-mm-dd")),'1 Context'!$C$7,"m")&gt;12,2,3)))))</f>
        <v>-1</v>
      </c>
      <c r="M30" s="24" t="n">
        <f aca="false">IF(AND(LOWER($E30)="y",$J30&gt;0,$K30&gt;=0),1,0)</f>
        <v>0</v>
      </c>
      <c r="N30" s="37" t="n">
        <v>1.3</v>
      </c>
      <c r="O30" s="35" t="n">
        <f aca="false">IF($M30=0,0,$J30*$N30*(3-$L30))</f>
        <v>0</v>
      </c>
      <c r="P30" s="24" t="n">
        <f aca="false">IF(AND($M30=1,$J30=3,$L30=0),1,0)</f>
        <v>0</v>
      </c>
      <c r="Q30" s="38" t="str">
        <f aca="false">IF(AND($M30=1,$K30=3,$L30&lt;3),IF(LOWER($I30)="y","reverted to 2: proof superseded by a declared change",IF($H30="","reverted to 2: no proof date recorded","reverted to 2: last proven more than 12 months ago")),"")</f>
        <v/>
      </c>
    </row>
    <row r="31" customFormat="false" ht="23.85" hidden="false" customHeight="false" outlineLevel="0" collapsed="false">
      <c r="A31" s="34" t="s">
        <v>460</v>
      </c>
      <c r="B31" s="8" t="s">
        <v>461</v>
      </c>
      <c r="C31" s="34" t="s">
        <v>444</v>
      </c>
      <c r="D31" s="8" t="s">
        <v>445</v>
      </c>
      <c r="E31" s="20"/>
      <c r="F31" s="20"/>
      <c r="G31" s="20"/>
      <c r="H31" s="20"/>
      <c r="I31" s="20"/>
      <c r="J31" s="24" t="n">
        <f aca="false">IFERROR(INDEX(Reference!$A$29:$A$31,MATCH($F31,Reference!$B$29:$B$31,0)),0)</f>
        <v>0</v>
      </c>
      <c r="K31" s="24" t="n">
        <f aca="false">IFERROR(INDEX(Reference!$A$22:$A$25,MATCH($G31,Reference!$B$22:$B$25,0)),-1)</f>
        <v>-1</v>
      </c>
      <c r="L31" s="24" t="n">
        <f aca="false">IF($K31&lt;&gt;3,$K31,IF(LOWER($I31)="y",2,IF($H31="",2,IF(OR('1 Context'!$C$7="",NOT(ISNUMBER(DATEVALUE(TEXT($H31,"yyyy-mm-dd"))))),2,IF(DATEDIF(DATEVALUE(TEXT($H31,"yyyy-mm-dd")),'1 Context'!$C$7,"m")&gt;12,2,3)))))</f>
        <v>-1</v>
      </c>
      <c r="M31" s="24" t="n">
        <f aca="false">IF(AND(LOWER($E31)="y",$J31&gt;0,$K31&gt;=0),1,0)</f>
        <v>0</v>
      </c>
      <c r="N31" s="37" t="n">
        <v>1.3</v>
      </c>
      <c r="O31" s="35" t="n">
        <f aca="false">IF($M31=0,0,$J31*$N31*(3-$L31))</f>
        <v>0</v>
      </c>
      <c r="P31" s="24" t="n">
        <f aca="false">IF(AND($M31=1,$J31=3,$L31=0),1,0)</f>
        <v>0</v>
      </c>
      <c r="Q31" s="38" t="str">
        <f aca="false">IF(AND($M31=1,$K31=3,$L31&lt;3),IF(LOWER($I31)="y","reverted to 2: proof superseded by a declared change",IF($H31="","reverted to 2: no proof date recorded","reverted to 2: last proven more than 12 months ago")),"")</f>
        <v/>
      </c>
    </row>
    <row r="32" customFormat="false" ht="23.85" hidden="false" customHeight="false" outlineLevel="0" collapsed="false">
      <c r="A32" s="34" t="s">
        <v>460</v>
      </c>
      <c r="B32" s="8" t="s">
        <v>461</v>
      </c>
      <c r="C32" s="34" t="s">
        <v>446</v>
      </c>
      <c r="D32" s="8" t="s">
        <v>447</v>
      </c>
      <c r="E32" s="20"/>
      <c r="F32" s="20"/>
      <c r="G32" s="20"/>
      <c r="H32" s="20"/>
      <c r="I32" s="20"/>
      <c r="J32" s="24" t="n">
        <f aca="false">IFERROR(INDEX(Reference!$A$29:$A$31,MATCH($F32,Reference!$B$29:$B$31,0)),0)</f>
        <v>0</v>
      </c>
      <c r="K32" s="24" t="n">
        <f aca="false">IFERROR(INDEX(Reference!$A$22:$A$25,MATCH($G32,Reference!$B$22:$B$25,0)),-1)</f>
        <v>-1</v>
      </c>
      <c r="L32" s="24" t="n">
        <f aca="false">IF($K32&lt;&gt;3,$K32,IF(LOWER($I32)="y",2,IF($H32="",2,IF(OR('1 Context'!$C$7="",NOT(ISNUMBER(DATEVALUE(TEXT($H32,"yyyy-mm-dd"))))),2,IF(DATEDIF(DATEVALUE(TEXT($H32,"yyyy-mm-dd")),'1 Context'!$C$7,"m")&gt;12,2,3)))))</f>
        <v>-1</v>
      </c>
      <c r="M32" s="24" t="n">
        <f aca="false">IF(AND(LOWER($E32)="y",$J32&gt;0,$K32&gt;=0),1,0)</f>
        <v>0</v>
      </c>
      <c r="N32" s="37" t="n">
        <v>1.3</v>
      </c>
      <c r="O32" s="35" t="n">
        <f aca="false">IF($M32=0,0,$J32*$N32*(3-$L32))</f>
        <v>0</v>
      </c>
      <c r="P32" s="24" t="n">
        <f aca="false">IF(AND($M32=1,$J32=3,$L32=0),1,0)</f>
        <v>0</v>
      </c>
      <c r="Q32" s="38" t="str">
        <f aca="false">IF(AND($M32=1,$K32=3,$L32&lt;3),IF(LOWER($I32)="y","reverted to 2: proof superseded by a declared change",IF($H32="","reverted to 2: no proof date recorded","reverted to 2: last proven more than 12 months ago")),"")</f>
        <v/>
      </c>
    </row>
    <row r="33" customFormat="false" ht="23.85" hidden="false" customHeight="false" outlineLevel="0" collapsed="false">
      <c r="A33" s="34" t="s">
        <v>460</v>
      </c>
      <c r="B33" s="8" t="s">
        <v>461</v>
      </c>
      <c r="C33" s="34" t="s">
        <v>448</v>
      </c>
      <c r="D33" s="8" t="s">
        <v>449</v>
      </c>
      <c r="E33" s="20"/>
      <c r="F33" s="20"/>
      <c r="G33" s="20"/>
      <c r="H33" s="20"/>
      <c r="I33" s="20"/>
      <c r="J33" s="24" t="n">
        <f aca="false">IFERROR(INDEX(Reference!$A$29:$A$31,MATCH($F33,Reference!$B$29:$B$31,0)),0)</f>
        <v>0</v>
      </c>
      <c r="K33" s="24" t="n">
        <f aca="false">IFERROR(INDEX(Reference!$A$22:$A$25,MATCH($G33,Reference!$B$22:$B$25,0)),-1)</f>
        <v>-1</v>
      </c>
      <c r="L33" s="24" t="n">
        <f aca="false">IF($K33&lt;&gt;3,$K33,IF(LOWER($I33)="y",2,IF($H33="",2,IF(OR('1 Context'!$C$7="",NOT(ISNUMBER(DATEVALUE(TEXT($H33,"yyyy-mm-dd"))))),2,IF(DATEDIF(DATEVALUE(TEXT($H33,"yyyy-mm-dd")),'1 Context'!$C$7,"m")&gt;12,2,3)))))</f>
        <v>-1</v>
      </c>
      <c r="M33" s="24" t="n">
        <f aca="false">IF(AND(LOWER($E33)="y",$J33&gt;0,$K33&gt;=0),1,0)</f>
        <v>0</v>
      </c>
      <c r="N33" s="37" t="n">
        <v>1.3</v>
      </c>
      <c r="O33" s="35" t="n">
        <f aca="false">IF($M33=0,0,$J33*$N33*(3-$L33))</f>
        <v>0</v>
      </c>
      <c r="P33" s="24" t="n">
        <f aca="false">IF(AND($M33=1,$J33=3,$L33=0),1,0)</f>
        <v>0</v>
      </c>
      <c r="Q33" s="38" t="str">
        <f aca="false">IF(AND($M33=1,$K33=3,$L33&lt;3),IF(LOWER($I33)="y","reverted to 2: proof superseded by a declared change",IF($H33="","reverted to 2: no proof date recorded","reverted to 2: last proven more than 12 months ago")),"")</f>
        <v/>
      </c>
    </row>
    <row r="34" customFormat="false" ht="23.85" hidden="false" customHeight="false" outlineLevel="0" collapsed="false">
      <c r="A34" s="34" t="s">
        <v>460</v>
      </c>
      <c r="B34" s="8" t="s">
        <v>461</v>
      </c>
      <c r="C34" s="34" t="s">
        <v>450</v>
      </c>
      <c r="D34" s="8" t="s">
        <v>451</v>
      </c>
      <c r="E34" s="20"/>
      <c r="F34" s="20"/>
      <c r="G34" s="20"/>
      <c r="H34" s="20"/>
      <c r="I34" s="20"/>
      <c r="J34" s="24" t="n">
        <f aca="false">IFERROR(INDEX(Reference!$A$29:$A$31,MATCH($F34,Reference!$B$29:$B$31,0)),0)</f>
        <v>0</v>
      </c>
      <c r="K34" s="24" t="n">
        <f aca="false">IFERROR(INDEX(Reference!$A$22:$A$25,MATCH($G34,Reference!$B$22:$B$25,0)),-1)</f>
        <v>-1</v>
      </c>
      <c r="L34" s="24" t="n">
        <f aca="false">IF($K34&lt;&gt;3,$K34,IF(LOWER($I34)="y",2,IF($H34="",2,IF(OR('1 Context'!$C$7="",NOT(ISNUMBER(DATEVALUE(TEXT($H34,"yyyy-mm-dd"))))),2,IF(DATEDIF(DATEVALUE(TEXT($H34,"yyyy-mm-dd")),'1 Context'!$C$7,"m")&gt;12,2,3)))))</f>
        <v>-1</v>
      </c>
      <c r="M34" s="24" t="n">
        <f aca="false">IF(AND(LOWER($E34)="y",$J34&gt;0,$K34&gt;=0),1,0)</f>
        <v>0</v>
      </c>
      <c r="N34" s="37" t="n">
        <v>1.3</v>
      </c>
      <c r="O34" s="35" t="n">
        <f aca="false">IF($M34=0,0,$J34*$N34*(3-$L34))</f>
        <v>0</v>
      </c>
      <c r="P34" s="24" t="n">
        <f aca="false">IF(AND($M34=1,$J34=3,$L34=0),1,0)</f>
        <v>0</v>
      </c>
      <c r="Q34" s="38" t="str">
        <f aca="false">IF(AND($M34=1,$K34=3,$L34&lt;3),IF(LOWER($I34)="y","reverted to 2: proof superseded by a declared change",IF($H34="","reverted to 2: no proof date recorded","reverted to 2: last proven more than 12 months ago")),"")</f>
        <v/>
      </c>
    </row>
    <row r="35" customFormat="false" ht="23.85" hidden="false" customHeight="false" outlineLevel="0" collapsed="false">
      <c r="A35" s="34" t="s">
        <v>460</v>
      </c>
      <c r="B35" s="8" t="s">
        <v>461</v>
      </c>
      <c r="C35" s="34" t="s">
        <v>452</v>
      </c>
      <c r="D35" s="8" t="s">
        <v>453</v>
      </c>
      <c r="E35" s="20"/>
      <c r="F35" s="20"/>
      <c r="G35" s="20"/>
      <c r="H35" s="20"/>
      <c r="I35" s="20"/>
      <c r="J35" s="24" t="n">
        <f aca="false">IFERROR(INDEX(Reference!$A$29:$A$31,MATCH($F35,Reference!$B$29:$B$31,0)),0)</f>
        <v>0</v>
      </c>
      <c r="K35" s="24" t="n">
        <f aca="false">IFERROR(INDEX(Reference!$A$22:$A$25,MATCH($G35,Reference!$B$22:$B$25,0)),-1)</f>
        <v>-1</v>
      </c>
      <c r="L35" s="24" t="n">
        <f aca="false">IF($K35&lt;&gt;3,$K35,IF(LOWER($I35)="y",2,IF($H35="",2,IF(OR('1 Context'!$C$7="",NOT(ISNUMBER(DATEVALUE(TEXT($H35,"yyyy-mm-dd"))))),2,IF(DATEDIF(DATEVALUE(TEXT($H35,"yyyy-mm-dd")),'1 Context'!$C$7,"m")&gt;12,2,3)))))</f>
        <v>-1</v>
      </c>
      <c r="M35" s="24" t="n">
        <f aca="false">IF(AND(LOWER($E35)="y",$J35&gt;0,$K35&gt;=0),1,0)</f>
        <v>0</v>
      </c>
      <c r="N35" s="37" t="n">
        <v>1.3</v>
      </c>
      <c r="O35" s="35" t="n">
        <f aca="false">IF($M35=0,0,$J35*$N35*(3-$L35))</f>
        <v>0</v>
      </c>
      <c r="P35" s="24" t="n">
        <f aca="false">IF(AND($M35=1,$J35=3,$L35=0),1,0)</f>
        <v>0</v>
      </c>
      <c r="Q35" s="38" t="str">
        <f aca="false">IF(AND($M35=1,$K35=3,$L35&lt;3),IF(LOWER($I35)="y","reverted to 2: proof superseded by a declared change",IF($H35="","reverted to 2: no proof date recorded","reverted to 2: last proven more than 12 months ago")),"")</f>
        <v/>
      </c>
    </row>
    <row r="36" customFormat="false" ht="23.85" hidden="false" customHeight="false" outlineLevel="0" collapsed="false">
      <c r="A36" s="34" t="s">
        <v>460</v>
      </c>
      <c r="B36" s="8" t="s">
        <v>461</v>
      </c>
      <c r="C36" s="34" t="s">
        <v>454</v>
      </c>
      <c r="D36" s="8" t="s">
        <v>455</v>
      </c>
      <c r="E36" s="20"/>
      <c r="F36" s="20"/>
      <c r="G36" s="20"/>
      <c r="H36" s="20"/>
      <c r="I36" s="20"/>
      <c r="J36" s="24" t="n">
        <f aca="false">IFERROR(INDEX(Reference!$A$29:$A$31,MATCH($F36,Reference!$B$29:$B$31,0)),0)</f>
        <v>0</v>
      </c>
      <c r="K36" s="24" t="n">
        <f aca="false">IFERROR(INDEX(Reference!$A$22:$A$25,MATCH($G36,Reference!$B$22:$B$25,0)),-1)</f>
        <v>-1</v>
      </c>
      <c r="L36" s="24" t="n">
        <f aca="false">IF($K36&lt;&gt;3,$K36,IF(LOWER($I36)="y",2,IF($H36="",2,IF(OR('1 Context'!$C$7="",NOT(ISNUMBER(DATEVALUE(TEXT($H36,"yyyy-mm-dd"))))),2,IF(DATEDIF(DATEVALUE(TEXT($H36,"yyyy-mm-dd")),'1 Context'!$C$7,"m")&gt;12,2,3)))))</f>
        <v>-1</v>
      </c>
      <c r="M36" s="24" t="n">
        <f aca="false">IF(AND(LOWER($E36)="y",$J36&gt;0,$K36&gt;=0),1,0)</f>
        <v>0</v>
      </c>
      <c r="N36" s="37" t="n">
        <v>1.3</v>
      </c>
      <c r="O36" s="35" t="n">
        <f aca="false">IF($M36=0,0,$J36*$N36*(3-$L36))</f>
        <v>0</v>
      </c>
      <c r="P36" s="24" t="n">
        <f aca="false">IF(AND($M36=1,$J36=3,$L36=0),1,0)</f>
        <v>0</v>
      </c>
      <c r="Q36" s="38" t="str">
        <f aca="false">IF(AND($M36=1,$K36=3,$L36&lt;3),IF(LOWER($I36)="y","reverted to 2: proof superseded by a declared change",IF($H36="","reverted to 2: no proof date recorded","reverted to 2: last proven more than 12 months ago")),"")</f>
        <v/>
      </c>
    </row>
    <row r="37" customFormat="false" ht="15" hidden="false" customHeight="false" outlineLevel="0" collapsed="false">
      <c r="A37" s="34" t="s">
        <v>462</v>
      </c>
      <c r="B37" s="8" t="s">
        <v>463</v>
      </c>
      <c r="C37" s="34" t="s">
        <v>440</v>
      </c>
      <c r="D37" s="8" t="s">
        <v>441</v>
      </c>
      <c r="E37" s="20"/>
      <c r="F37" s="20"/>
      <c r="G37" s="20"/>
      <c r="H37" s="20"/>
      <c r="I37" s="20"/>
      <c r="J37" s="24" t="n">
        <f aca="false">IFERROR(INDEX(Reference!$A$29:$A$31,MATCH($F37,Reference!$B$29:$B$31,0)),0)</f>
        <v>0</v>
      </c>
      <c r="K37" s="24" t="n">
        <f aca="false">IFERROR(INDEX(Reference!$A$22:$A$25,MATCH($G37,Reference!$B$22:$B$25,0)),-1)</f>
        <v>-1</v>
      </c>
      <c r="L37" s="24" t="n">
        <f aca="false">IF($K37&lt;&gt;3,$K37,IF(LOWER($I37)="y",2,IF($H37="",2,IF(OR('1 Context'!$C$7="",NOT(ISNUMBER(DATEVALUE(TEXT($H37,"yyyy-mm-dd"))))),2,IF(DATEDIF(DATEVALUE(TEXT($H37,"yyyy-mm-dd")),'1 Context'!$C$7,"m")&gt;12,2,3)))))</f>
        <v>-1</v>
      </c>
      <c r="M37" s="24" t="n">
        <f aca="false">IF(AND(LOWER($E37)="y",$J37&gt;0,$K37&gt;=0),1,0)</f>
        <v>0</v>
      </c>
      <c r="N37" s="37" t="n">
        <v>1.2</v>
      </c>
      <c r="O37" s="35" t="n">
        <f aca="false">IF($M37=0,0,$J37*$N37*(3-$L37))</f>
        <v>0</v>
      </c>
      <c r="P37" s="24" t="n">
        <f aca="false">IF(AND($M37=1,$J37=3,$L37=0),1,0)</f>
        <v>0</v>
      </c>
      <c r="Q37" s="38" t="str">
        <f aca="false">IF(AND($M37=1,$K37=3,$L37&lt;3),IF(LOWER($I37)="y","reverted to 2: proof superseded by a declared change",IF($H37="","reverted to 2: no proof date recorded","reverted to 2: last proven more than 12 months ago")),"")</f>
        <v/>
      </c>
    </row>
    <row r="38" customFormat="false" ht="15" hidden="false" customHeight="false" outlineLevel="0" collapsed="false">
      <c r="A38" s="34" t="s">
        <v>462</v>
      </c>
      <c r="B38" s="8" t="s">
        <v>463</v>
      </c>
      <c r="C38" s="34" t="s">
        <v>442</v>
      </c>
      <c r="D38" s="8" t="s">
        <v>443</v>
      </c>
      <c r="E38" s="20"/>
      <c r="F38" s="20"/>
      <c r="G38" s="20"/>
      <c r="H38" s="20"/>
      <c r="I38" s="20"/>
      <c r="J38" s="24" t="n">
        <f aca="false">IFERROR(INDEX(Reference!$A$29:$A$31,MATCH($F38,Reference!$B$29:$B$31,0)),0)</f>
        <v>0</v>
      </c>
      <c r="K38" s="24" t="n">
        <f aca="false">IFERROR(INDEX(Reference!$A$22:$A$25,MATCH($G38,Reference!$B$22:$B$25,0)),-1)</f>
        <v>-1</v>
      </c>
      <c r="L38" s="24" t="n">
        <f aca="false">IF($K38&lt;&gt;3,$K38,IF(LOWER($I38)="y",2,IF($H38="",2,IF(OR('1 Context'!$C$7="",NOT(ISNUMBER(DATEVALUE(TEXT($H38,"yyyy-mm-dd"))))),2,IF(DATEDIF(DATEVALUE(TEXT($H38,"yyyy-mm-dd")),'1 Context'!$C$7,"m")&gt;12,2,3)))))</f>
        <v>-1</v>
      </c>
      <c r="M38" s="24" t="n">
        <f aca="false">IF(AND(LOWER($E38)="y",$J38&gt;0,$K38&gt;=0),1,0)</f>
        <v>0</v>
      </c>
      <c r="N38" s="37" t="n">
        <v>1.2</v>
      </c>
      <c r="O38" s="35" t="n">
        <f aca="false">IF($M38=0,0,$J38*$N38*(3-$L38))</f>
        <v>0</v>
      </c>
      <c r="P38" s="24" t="n">
        <f aca="false">IF(AND($M38=1,$J38=3,$L38=0),1,0)</f>
        <v>0</v>
      </c>
      <c r="Q38" s="38" t="str">
        <f aca="false">IF(AND($M38=1,$K38=3,$L38&lt;3),IF(LOWER($I38)="y","reverted to 2: proof superseded by a declared change",IF($H38="","reverted to 2: no proof date recorded","reverted to 2: last proven more than 12 months ago")),"")</f>
        <v/>
      </c>
    </row>
    <row r="39" customFormat="false" ht="15" hidden="false" customHeight="false" outlineLevel="0" collapsed="false">
      <c r="A39" s="34" t="s">
        <v>462</v>
      </c>
      <c r="B39" s="8" t="s">
        <v>463</v>
      </c>
      <c r="C39" s="34" t="s">
        <v>444</v>
      </c>
      <c r="D39" s="8" t="s">
        <v>445</v>
      </c>
      <c r="E39" s="20"/>
      <c r="F39" s="20"/>
      <c r="G39" s="20"/>
      <c r="H39" s="20"/>
      <c r="I39" s="20"/>
      <c r="J39" s="24" t="n">
        <f aca="false">IFERROR(INDEX(Reference!$A$29:$A$31,MATCH($F39,Reference!$B$29:$B$31,0)),0)</f>
        <v>0</v>
      </c>
      <c r="K39" s="24" t="n">
        <f aca="false">IFERROR(INDEX(Reference!$A$22:$A$25,MATCH($G39,Reference!$B$22:$B$25,0)),-1)</f>
        <v>-1</v>
      </c>
      <c r="L39" s="24" t="n">
        <f aca="false">IF($K39&lt;&gt;3,$K39,IF(LOWER($I39)="y",2,IF($H39="",2,IF(OR('1 Context'!$C$7="",NOT(ISNUMBER(DATEVALUE(TEXT($H39,"yyyy-mm-dd"))))),2,IF(DATEDIF(DATEVALUE(TEXT($H39,"yyyy-mm-dd")),'1 Context'!$C$7,"m")&gt;12,2,3)))))</f>
        <v>-1</v>
      </c>
      <c r="M39" s="24" t="n">
        <f aca="false">IF(AND(LOWER($E39)="y",$J39&gt;0,$K39&gt;=0),1,0)</f>
        <v>0</v>
      </c>
      <c r="N39" s="37" t="n">
        <v>1.2</v>
      </c>
      <c r="O39" s="35" t="n">
        <f aca="false">IF($M39=0,0,$J39*$N39*(3-$L39))</f>
        <v>0</v>
      </c>
      <c r="P39" s="24" t="n">
        <f aca="false">IF(AND($M39=1,$J39=3,$L39=0),1,0)</f>
        <v>0</v>
      </c>
      <c r="Q39" s="38" t="str">
        <f aca="false">IF(AND($M39=1,$K39=3,$L39&lt;3),IF(LOWER($I39)="y","reverted to 2: proof superseded by a declared change",IF($H39="","reverted to 2: no proof date recorded","reverted to 2: last proven more than 12 months ago")),"")</f>
        <v/>
      </c>
    </row>
    <row r="40" customFormat="false" ht="15" hidden="false" customHeight="false" outlineLevel="0" collapsed="false">
      <c r="A40" s="34" t="s">
        <v>462</v>
      </c>
      <c r="B40" s="8" t="s">
        <v>463</v>
      </c>
      <c r="C40" s="34" t="s">
        <v>446</v>
      </c>
      <c r="D40" s="8" t="s">
        <v>447</v>
      </c>
      <c r="E40" s="20"/>
      <c r="F40" s="20"/>
      <c r="G40" s="20"/>
      <c r="H40" s="20"/>
      <c r="I40" s="20"/>
      <c r="J40" s="24" t="n">
        <f aca="false">IFERROR(INDEX(Reference!$A$29:$A$31,MATCH($F40,Reference!$B$29:$B$31,0)),0)</f>
        <v>0</v>
      </c>
      <c r="K40" s="24" t="n">
        <f aca="false">IFERROR(INDEX(Reference!$A$22:$A$25,MATCH($G40,Reference!$B$22:$B$25,0)),-1)</f>
        <v>-1</v>
      </c>
      <c r="L40" s="24" t="n">
        <f aca="false">IF($K40&lt;&gt;3,$K40,IF(LOWER($I40)="y",2,IF($H40="",2,IF(OR('1 Context'!$C$7="",NOT(ISNUMBER(DATEVALUE(TEXT($H40,"yyyy-mm-dd"))))),2,IF(DATEDIF(DATEVALUE(TEXT($H40,"yyyy-mm-dd")),'1 Context'!$C$7,"m")&gt;12,2,3)))))</f>
        <v>-1</v>
      </c>
      <c r="M40" s="24" t="n">
        <f aca="false">IF(AND(LOWER($E40)="y",$J40&gt;0,$K40&gt;=0),1,0)</f>
        <v>0</v>
      </c>
      <c r="N40" s="37" t="n">
        <v>1.2</v>
      </c>
      <c r="O40" s="35" t="n">
        <f aca="false">IF($M40=0,0,$J40*$N40*(3-$L40))</f>
        <v>0</v>
      </c>
      <c r="P40" s="24" t="n">
        <f aca="false">IF(AND($M40=1,$J40=3,$L40=0),1,0)</f>
        <v>0</v>
      </c>
      <c r="Q40" s="38" t="str">
        <f aca="false">IF(AND($M40=1,$K40=3,$L40&lt;3),IF(LOWER($I40)="y","reverted to 2: proof superseded by a declared change",IF($H40="","reverted to 2: no proof date recorded","reverted to 2: last proven more than 12 months ago")),"")</f>
        <v/>
      </c>
    </row>
    <row r="41" customFormat="false" ht="15" hidden="false" customHeight="false" outlineLevel="0" collapsed="false">
      <c r="A41" s="34" t="s">
        <v>462</v>
      </c>
      <c r="B41" s="8" t="s">
        <v>463</v>
      </c>
      <c r="C41" s="34" t="s">
        <v>448</v>
      </c>
      <c r="D41" s="8" t="s">
        <v>449</v>
      </c>
      <c r="E41" s="20"/>
      <c r="F41" s="20"/>
      <c r="G41" s="20"/>
      <c r="H41" s="20"/>
      <c r="I41" s="20"/>
      <c r="J41" s="24" t="n">
        <f aca="false">IFERROR(INDEX(Reference!$A$29:$A$31,MATCH($F41,Reference!$B$29:$B$31,0)),0)</f>
        <v>0</v>
      </c>
      <c r="K41" s="24" t="n">
        <f aca="false">IFERROR(INDEX(Reference!$A$22:$A$25,MATCH($G41,Reference!$B$22:$B$25,0)),-1)</f>
        <v>-1</v>
      </c>
      <c r="L41" s="24" t="n">
        <f aca="false">IF($K41&lt;&gt;3,$K41,IF(LOWER($I41)="y",2,IF($H41="",2,IF(OR('1 Context'!$C$7="",NOT(ISNUMBER(DATEVALUE(TEXT($H41,"yyyy-mm-dd"))))),2,IF(DATEDIF(DATEVALUE(TEXT($H41,"yyyy-mm-dd")),'1 Context'!$C$7,"m")&gt;12,2,3)))))</f>
        <v>-1</v>
      </c>
      <c r="M41" s="24" t="n">
        <f aca="false">IF(AND(LOWER($E41)="y",$J41&gt;0,$K41&gt;=0),1,0)</f>
        <v>0</v>
      </c>
      <c r="N41" s="37" t="n">
        <v>1.2</v>
      </c>
      <c r="O41" s="35" t="n">
        <f aca="false">IF($M41=0,0,$J41*$N41*(3-$L41))</f>
        <v>0</v>
      </c>
      <c r="P41" s="24" t="n">
        <f aca="false">IF(AND($M41=1,$J41=3,$L41=0),1,0)</f>
        <v>0</v>
      </c>
      <c r="Q41" s="38" t="str">
        <f aca="false">IF(AND($M41=1,$K41=3,$L41&lt;3),IF(LOWER($I41)="y","reverted to 2: proof superseded by a declared change",IF($H41="","reverted to 2: no proof date recorded","reverted to 2: last proven more than 12 months ago")),"")</f>
        <v/>
      </c>
    </row>
    <row r="42" customFormat="false" ht="15" hidden="false" customHeight="false" outlineLevel="0" collapsed="false">
      <c r="A42" s="34" t="s">
        <v>462</v>
      </c>
      <c r="B42" s="8" t="s">
        <v>463</v>
      </c>
      <c r="C42" s="34" t="s">
        <v>450</v>
      </c>
      <c r="D42" s="8" t="s">
        <v>451</v>
      </c>
      <c r="E42" s="20"/>
      <c r="F42" s="20"/>
      <c r="G42" s="20"/>
      <c r="H42" s="20"/>
      <c r="I42" s="20"/>
      <c r="J42" s="24" t="n">
        <f aca="false">IFERROR(INDEX(Reference!$A$29:$A$31,MATCH($F42,Reference!$B$29:$B$31,0)),0)</f>
        <v>0</v>
      </c>
      <c r="K42" s="24" t="n">
        <f aca="false">IFERROR(INDEX(Reference!$A$22:$A$25,MATCH($G42,Reference!$B$22:$B$25,0)),-1)</f>
        <v>-1</v>
      </c>
      <c r="L42" s="24" t="n">
        <f aca="false">IF($K42&lt;&gt;3,$K42,IF(LOWER($I42)="y",2,IF($H42="",2,IF(OR('1 Context'!$C$7="",NOT(ISNUMBER(DATEVALUE(TEXT($H42,"yyyy-mm-dd"))))),2,IF(DATEDIF(DATEVALUE(TEXT($H42,"yyyy-mm-dd")),'1 Context'!$C$7,"m")&gt;12,2,3)))))</f>
        <v>-1</v>
      </c>
      <c r="M42" s="24" t="n">
        <f aca="false">IF(AND(LOWER($E42)="y",$J42&gt;0,$K42&gt;=0),1,0)</f>
        <v>0</v>
      </c>
      <c r="N42" s="37" t="n">
        <v>1.2</v>
      </c>
      <c r="O42" s="35" t="n">
        <f aca="false">IF($M42=0,0,$J42*$N42*(3-$L42))</f>
        <v>0</v>
      </c>
      <c r="P42" s="24" t="n">
        <f aca="false">IF(AND($M42=1,$J42=3,$L42=0),1,0)</f>
        <v>0</v>
      </c>
      <c r="Q42" s="38" t="str">
        <f aca="false">IF(AND($M42=1,$K42=3,$L42&lt;3),IF(LOWER($I42)="y","reverted to 2: proof superseded by a declared change",IF($H42="","reverted to 2: no proof date recorded","reverted to 2: last proven more than 12 months ago")),"")</f>
        <v/>
      </c>
    </row>
    <row r="43" customFormat="false" ht="15" hidden="false" customHeight="false" outlineLevel="0" collapsed="false">
      <c r="A43" s="34" t="s">
        <v>462</v>
      </c>
      <c r="B43" s="8" t="s">
        <v>463</v>
      </c>
      <c r="C43" s="34" t="s">
        <v>452</v>
      </c>
      <c r="D43" s="8" t="s">
        <v>453</v>
      </c>
      <c r="E43" s="20"/>
      <c r="F43" s="20"/>
      <c r="G43" s="20"/>
      <c r="H43" s="20"/>
      <c r="I43" s="20"/>
      <c r="J43" s="24" t="n">
        <f aca="false">IFERROR(INDEX(Reference!$A$29:$A$31,MATCH($F43,Reference!$B$29:$B$31,0)),0)</f>
        <v>0</v>
      </c>
      <c r="K43" s="24" t="n">
        <f aca="false">IFERROR(INDEX(Reference!$A$22:$A$25,MATCH($G43,Reference!$B$22:$B$25,0)),-1)</f>
        <v>-1</v>
      </c>
      <c r="L43" s="24" t="n">
        <f aca="false">IF($K43&lt;&gt;3,$K43,IF(LOWER($I43)="y",2,IF($H43="",2,IF(OR('1 Context'!$C$7="",NOT(ISNUMBER(DATEVALUE(TEXT($H43,"yyyy-mm-dd"))))),2,IF(DATEDIF(DATEVALUE(TEXT($H43,"yyyy-mm-dd")),'1 Context'!$C$7,"m")&gt;12,2,3)))))</f>
        <v>-1</v>
      </c>
      <c r="M43" s="24" t="n">
        <f aca="false">IF(AND(LOWER($E43)="y",$J43&gt;0,$K43&gt;=0),1,0)</f>
        <v>0</v>
      </c>
      <c r="N43" s="37" t="n">
        <v>1.2</v>
      </c>
      <c r="O43" s="35" t="n">
        <f aca="false">IF($M43=0,0,$J43*$N43*(3-$L43))</f>
        <v>0</v>
      </c>
      <c r="P43" s="24" t="n">
        <f aca="false">IF(AND($M43=1,$J43=3,$L43=0),1,0)</f>
        <v>0</v>
      </c>
      <c r="Q43" s="38" t="str">
        <f aca="false">IF(AND($M43=1,$K43=3,$L43&lt;3),IF(LOWER($I43)="y","reverted to 2: proof superseded by a declared change",IF($H43="","reverted to 2: no proof date recorded","reverted to 2: last proven more than 12 months ago")),"")</f>
        <v/>
      </c>
    </row>
    <row r="44" customFormat="false" ht="15" hidden="false" customHeight="false" outlineLevel="0" collapsed="false">
      <c r="A44" s="34" t="s">
        <v>462</v>
      </c>
      <c r="B44" s="8" t="s">
        <v>463</v>
      </c>
      <c r="C44" s="34" t="s">
        <v>454</v>
      </c>
      <c r="D44" s="8" t="s">
        <v>455</v>
      </c>
      <c r="E44" s="20"/>
      <c r="F44" s="20"/>
      <c r="G44" s="20"/>
      <c r="H44" s="20"/>
      <c r="I44" s="20"/>
      <c r="J44" s="24" t="n">
        <f aca="false">IFERROR(INDEX(Reference!$A$29:$A$31,MATCH($F44,Reference!$B$29:$B$31,0)),0)</f>
        <v>0</v>
      </c>
      <c r="K44" s="24" t="n">
        <f aca="false">IFERROR(INDEX(Reference!$A$22:$A$25,MATCH($G44,Reference!$B$22:$B$25,0)),-1)</f>
        <v>-1</v>
      </c>
      <c r="L44" s="24" t="n">
        <f aca="false">IF($K44&lt;&gt;3,$K44,IF(LOWER($I44)="y",2,IF($H44="",2,IF(OR('1 Context'!$C$7="",NOT(ISNUMBER(DATEVALUE(TEXT($H44,"yyyy-mm-dd"))))),2,IF(DATEDIF(DATEVALUE(TEXT($H44,"yyyy-mm-dd")),'1 Context'!$C$7,"m")&gt;12,2,3)))))</f>
        <v>-1</v>
      </c>
      <c r="M44" s="24" t="n">
        <f aca="false">IF(AND(LOWER($E44)="y",$J44&gt;0,$K44&gt;=0),1,0)</f>
        <v>0</v>
      </c>
      <c r="N44" s="37" t="n">
        <v>1.2</v>
      </c>
      <c r="O44" s="35" t="n">
        <f aca="false">IF($M44=0,0,$J44*$N44*(3-$L44))</f>
        <v>0</v>
      </c>
      <c r="P44" s="24" t="n">
        <f aca="false">IF(AND($M44=1,$J44=3,$L44=0),1,0)</f>
        <v>0</v>
      </c>
      <c r="Q44" s="38" t="str">
        <f aca="false">IF(AND($M44=1,$K44=3,$L44&lt;3),IF(LOWER($I44)="y","reverted to 2: proof superseded by a declared change",IF($H44="","reverted to 2: no proof date recorded","reverted to 2: last proven more than 12 months ago")),"")</f>
        <v/>
      </c>
    </row>
    <row r="45" customFormat="false" ht="15" hidden="false" customHeight="false" outlineLevel="0" collapsed="false">
      <c r="A45" s="34" t="s">
        <v>464</v>
      </c>
      <c r="B45" s="8" t="s">
        <v>465</v>
      </c>
      <c r="C45" s="34" t="s">
        <v>440</v>
      </c>
      <c r="D45" s="8" t="s">
        <v>441</v>
      </c>
      <c r="E45" s="20"/>
      <c r="F45" s="20"/>
      <c r="G45" s="20"/>
      <c r="H45" s="20"/>
      <c r="I45" s="20"/>
      <c r="J45" s="24" t="n">
        <f aca="false">IFERROR(INDEX(Reference!$A$29:$A$31,MATCH($F45,Reference!$B$29:$B$31,0)),0)</f>
        <v>0</v>
      </c>
      <c r="K45" s="24" t="n">
        <f aca="false">IFERROR(INDEX(Reference!$A$22:$A$25,MATCH($G45,Reference!$B$22:$B$25,0)),-1)</f>
        <v>-1</v>
      </c>
      <c r="L45" s="24" t="n">
        <f aca="false">IF($K45&lt;&gt;3,$K45,IF(LOWER($I45)="y",2,IF($H45="",2,IF(OR('1 Context'!$C$7="",NOT(ISNUMBER(DATEVALUE(TEXT($H45,"yyyy-mm-dd"))))),2,IF(DATEDIF(DATEVALUE(TEXT($H45,"yyyy-mm-dd")),'1 Context'!$C$7,"m")&gt;12,2,3)))))</f>
        <v>-1</v>
      </c>
      <c r="M45" s="24" t="n">
        <f aca="false">IF(AND(LOWER($E45)="y",$J45&gt;0,$K45&gt;=0),1,0)</f>
        <v>0</v>
      </c>
      <c r="N45" s="37" t="n">
        <v>1</v>
      </c>
      <c r="O45" s="35" t="n">
        <f aca="false">IF($M45=0,0,$J45*$N45*(3-$L45))</f>
        <v>0</v>
      </c>
      <c r="P45" s="24" t="n">
        <f aca="false">IF(AND($M45=1,$J45=3,$L45=0),1,0)</f>
        <v>0</v>
      </c>
      <c r="Q45" s="38" t="str">
        <f aca="false">IF(AND($M45=1,$K45=3,$L45&lt;3),IF(LOWER($I45)="y","reverted to 2: proof superseded by a declared change",IF($H45="","reverted to 2: no proof date recorded","reverted to 2: last proven more than 12 months ago")),"")</f>
        <v/>
      </c>
    </row>
    <row r="46" customFormat="false" ht="15" hidden="false" customHeight="false" outlineLevel="0" collapsed="false">
      <c r="A46" s="34" t="s">
        <v>464</v>
      </c>
      <c r="B46" s="8" t="s">
        <v>465</v>
      </c>
      <c r="C46" s="34" t="s">
        <v>442</v>
      </c>
      <c r="D46" s="8" t="s">
        <v>443</v>
      </c>
      <c r="E46" s="20"/>
      <c r="F46" s="20"/>
      <c r="G46" s="20"/>
      <c r="H46" s="20"/>
      <c r="I46" s="20"/>
      <c r="J46" s="24" t="n">
        <f aca="false">IFERROR(INDEX(Reference!$A$29:$A$31,MATCH($F46,Reference!$B$29:$B$31,0)),0)</f>
        <v>0</v>
      </c>
      <c r="K46" s="24" t="n">
        <f aca="false">IFERROR(INDEX(Reference!$A$22:$A$25,MATCH($G46,Reference!$B$22:$B$25,0)),-1)</f>
        <v>-1</v>
      </c>
      <c r="L46" s="24" t="n">
        <f aca="false">IF($K46&lt;&gt;3,$K46,IF(LOWER($I46)="y",2,IF($H46="",2,IF(OR('1 Context'!$C$7="",NOT(ISNUMBER(DATEVALUE(TEXT($H46,"yyyy-mm-dd"))))),2,IF(DATEDIF(DATEVALUE(TEXT($H46,"yyyy-mm-dd")),'1 Context'!$C$7,"m")&gt;12,2,3)))))</f>
        <v>-1</v>
      </c>
      <c r="M46" s="24" t="n">
        <f aca="false">IF(AND(LOWER($E46)="y",$J46&gt;0,$K46&gt;=0),1,0)</f>
        <v>0</v>
      </c>
      <c r="N46" s="37" t="n">
        <v>1</v>
      </c>
      <c r="O46" s="35" t="n">
        <f aca="false">IF($M46=0,0,$J46*$N46*(3-$L46))</f>
        <v>0</v>
      </c>
      <c r="P46" s="24" t="n">
        <f aca="false">IF(AND($M46=1,$J46=3,$L46=0),1,0)</f>
        <v>0</v>
      </c>
      <c r="Q46" s="38" t="str">
        <f aca="false">IF(AND($M46=1,$K46=3,$L46&lt;3),IF(LOWER($I46)="y","reverted to 2: proof superseded by a declared change",IF($H46="","reverted to 2: no proof date recorded","reverted to 2: last proven more than 12 months ago")),"")</f>
        <v/>
      </c>
    </row>
    <row r="47" customFormat="false" ht="15" hidden="false" customHeight="false" outlineLevel="0" collapsed="false">
      <c r="A47" s="34" t="s">
        <v>464</v>
      </c>
      <c r="B47" s="8" t="s">
        <v>465</v>
      </c>
      <c r="C47" s="34" t="s">
        <v>444</v>
      </c>
      <c r="D47" s="8" t="s">
        <v>445</v>
      </c>
      <c r="E47" s="20"/>
      <c r="F47" s="20"/>
      <c r="G47" s="20"/>
      <c r="H47" s="20"/>
      <c r="I47" s="20"/>
      <c r="J47" s="24" t="n">
        <f aca="false">IFERROR(INDEX(Reference!$A$29:$A$31,MATCH($F47,Reference!$B$29:$B$31,0)),0)</f>
        <v>0</v>
      </c>
      <c r="K47" s="24" t="n">
        <f aca="false">IFERROR(INDEX(Reference!$A$22:$A$25,MATCH($G47,Reference!$B$22:$B$25,0)),-1)</f>
        <v>-1</v>
      </c>
      <c r="L47" s="24" t="n">
        <f aca="false">IF($K47&lt;&gt;3,$K47,IF(LOWER($I47)="y",2,IF($H47="",2,IF(OR('1 Context'!$C$7="",NOT(ISNUMBER(DATEVALUE(TEXT($H47,"yyyy-mm-dd"))))),2,IF(DATEDIF(DATEVALUE(TEXT($H47,"yyyy-mm-dd")),'1 Context'!$C$7,"m")&gt;12,2,3)))))</f>
        <v>-1</v>
      </c>
      <c r="M47" s="24" t="n">
        <f aca="false">IF(AND(LOWER($E47)="y",$J47&gt;0,$K47&gt;=0),1,0)</f>
        <v>0</v>
      </c>
      <c r="N47" s="37" t="n">
        <v>1</v>
      </c>
      <c r="O47" s="35" t="n">
        <f aca="false">IF($M47=0,0,$J47*$N47*(3-$L47))</f>
        <v>0</v>
      </c>
      <c r="P47" s="24" t="n">
        <f aca="false">IF(AND($M47=1,$J47=3,$L47=0),1,0)</f>
        <v>0</v>
      </c>
      <c r="Q47" s="38" t="str">
        <f aca="false">IF(AND($M47=1,$K47=3,$L47&lt;3),IF(LOWER($I47)="y","reverted to 2: proof superseded by a declared change",IF($H47="","reverted to 2: no proof date recorded","reverted to 2: last proven more than 12 months ago")),"")</f>
        <v/>
      </c>
    </row>
    <row r="48" customFormat="false" ht="15" hidden="false" customHeight="false" outlineLevel="0" collapsed="false">
      <c r="A48" s="34" t="s">
        <v>464</v>
      </c>
      <c r="B48" s="8" t="s">
        <v>465</v>
      </c>
      <c r="C48" s="34" t="s">
        <v>446</v>
      </c>
      <c r="D48" s="8" t="s">
        <v>447</v>
      </c>
      <c r="E48" s="20"/>
      <c r="F48" s="20"/>
      <c r="G48" s="20"/>
      <c r="H48" s="20"/>
      <c r="I48" s="20"/>
      <c r="J48" s="24" t="n">
        <f aca="false">IFERROR(INDEX(Reference!$A$29:$A$31,MATCH($F48,Reference!$B$29:$B$31,0)),0)</f>
        <v>0</v>
      </c>
      <c r="K48" s="24" t="n">
        <f aca="false">IFERROR(INDEX(Reference!$A$22:$A$25,MATCH($G48,Reference!$B$22:$B$25,0)),-1)</f>
        <v>-1</v>
      </c>
      <c r="L48" s="24" t="n">
        <f aca="false">IF($K48&lt;&gt;3,$K48,IF(LOWER($I48)="y",2,IF($H48="",2,IF(OR('1 Context'!$C$7="",NOT(ISNUMBER(DATEVALUE(TEXT($H48,"yyyy-mm-dd"))))),2,IF(DATEDIF(DATEVALUE(TEXT($H48,"yyyy-mm-dd")),'1 Context'!$C$7,"m")&gt;12,2,3)))))</f>
        <v>-1</v>
      </c>
      <c r="M48" s="24" t="n">
        <f aca="false">IF(AND(LOWER($E48)="y",$J48&gt;0,$K48&gt;=0),1,0)</f>
        <v>0</v>
      </c>
      <c r="N48" s="37" t="n">
        <v>1</v>
      </c>
      <c r="O48" s="35" t="n">
        <f aca="false">IF($M48=0,0,$J48*$N48*(3-$L48))</f>
        <v>0</v>
      </c>
      <c r="P48" s="24" t="n">
        <f aca="false">IF(AND($M48=1,$J48=3,$L48=0),1,0)</f>
        <v>0</v>
      </c>
      <c r="Q48" s="38" t="str">
        <f aca="false">IF(AND($M48=1,$K48=3,$L48&lt;3),IF(LOWER($I48)="y","reverted to 2: proof superseded by a declared change",IF($H48="","reverted to 2: no proof date recorded","reverted to 2: last proven more than 12 months ago")),"")</f>
        <v/>
      </c>
    </row>
    <row r="49" customFormat="false" ht="15" hidden="false" customHeight="false" outlineLevel="0" collapsed="false">
      <c r="A49" s="34" t="s">
        <v>464</v>
      </c>
      <c r="B49" s="8" t="s">
        <v>465</v>
      </c>
      <c r="C49" s="34" t="s">
        <v>448</v>
      </c>
      <c r="D49" s="8" t="s">
        <v>449</v>
      </c>
      <c r="E49" s="20"/>
      <c r="F49" s="20"/>
      <c r="G49" s="20"/>
      <c r="H49" s="20"/>
      <c r="I49" s="20"/>
      <c r="J49" s="24" t="n">
        <f aca="false">IFERROR(INDEX(Reference!$A$29:$A$31,MATCH($F49,Reference!$B$29:$B$31,0)),0)</f>
        <v>0</v>
      </c>
      <c r="K49" s="24" t="n">
        <f aca="false">IFERROR(INDEX(Reference!$A$22:$A$25,MATCH($G49,Reference!$B$22:$B$25,0)),-1)</f>
        <v>-1</v>
      </c>
      <c r="L49" s="24" t="n">
        <f aca="false">IF($K49&lt;&gt;3,$K49,IF(LOWER($I49)="y",2,IF($H49="",2,IF(OR('1 Context'!$C$7="",NOT(ISNUMBER(DATEVALUE(TEXT($H49,"yyyy-mm-dd"))))),2,IF(DATEDIF(DATEVALUE(TEXT($H49,"yyyy-mm-dd")),'1 Context'!$C$7,"m")&gt;12,2,3)))))</f>
        <v>-1</v>
      </c>
      <c r="M49" s="24" t="n">
        <f aca="false">IF(AND(LOWER($E49)="y",$J49&gt;0,$K49&gt;=0),1,0)</f>
        <v>0</v>
      </c>
      <c r="N49" s="37" t="n">
        <v>1</v>
      </c>
      <c r="O49" s="35" t="n">
        <f aca="false">IF($M49=0,0,$J49*$N49*(3-$L49))</f>
        <v>0</v>
      </c>
      <c r="P49" s="24" t="n">
        <f aca="false">IF(AND($M49=1,$J49=3,$L49=0),1,0)</f>
        <v>0</v>
      </c>
      <c r="Q49" s="38" t="str">
        <f aca="false">IF(AND($M49=1,$K49=3,$L49&lt;3),IF(LOWER($I49)="y","reverted to 2: proof superseded by a declared change",IF($H49="","reverted to 2: no proof date recorded","reverted to 2: last proven more than 12 months ago")),"")</f>
        <v/>
      </c>
    </row>
    <row r="50" customFormat="false" ht="15" hidden="false" customHeight="false" outlineLevel="0" collapsed="false">
      <c r="A50" s="34" t="s">
        <v>464</v>
      </c>
      <c r="B50" s="8" t="s">
        <v>465</v>
      </c>
      <c r="C50" s="34" t="s">
        <v>450</v>
      </c>
      <c r="D50" s="8" t="s">
        <v>451</v>
      </c>
      <c r="E50" s="20"/>
      <c r="F50" s="20"/>
      <c r="G50" s="20"/>
      <c r="H50" s="20"/>
      <c r="I50" s="20"/>
      <c r="J50" s="24" t="n">
        <f aca="false">IFERROR(INDEX(Reference!$A$29:$A$31,MATCH($F50,Reference!$B$29:$B$31,0)),0)</f>
        <v>0</v>
      </c>
      <c r="K50" s="24" t="n">
        <f aca="false">IFERROR(INDEX(Reference!$A$22:$A$25,MATCH($G50,Reference!$B$22:$B$25,0)),-1)</f>
        <v>-1</v>
      </c>
      <c r="L50" s="24" t="n">
        <f aca="false">IF($K50&lt;&gt;3,$K50,IF(LOWER($I50)="y",2,IF($H50="",2,IF(OR('1 Context'!$C$7="",NOT(ISNUMBER(DATEVALUE(TEXT($H50,"yyyy-mm-dd"))))),2,IF(DATEDIF(DATEVALUE(TEXT($H50,"yyyy-mm-dd")),'1 Context'!$C$7,"m")&gt;12,2,3)))))</f>
        <v>-1</v>
      </c>
      <c r="M50" s="24" t="n">
        <f aca="false">IF(AND(LOWER($E50)="y",$J50&gt;0,$K50&gt;=0),1,0)</f>
        <v>0</v>
      </c>
      <c r="N50" s="37" t="n">
        <v>1</v>
      </c>
      <c r="O50" s="35" t="n">
        <f aca="false">IF($M50=0,0,$J50*$N50*(3-$L50))</f>
        <v>0</v>
      </c>
      <c r="P50" s="24" t="n">
        <f aca="false">IF(AND($M50=1,$J50=3,$L50=0),1,0)</f>
        <v>0</v>
      </c>
      <c r="Q50" s="38" t="str">
        <f aca="false">IF(AND($M50=1,$K50=3,$L50&lt;3),IF(LOWER($I50)="y","reverted to 2: proof superseded by a declared change",IF($H50="","reverted to 2: no proof date recorded","reverted to 2: last proven more than 12 months ago")),"")</f>
        <v/>
      </c>
    </row>
    <row r="51" customFormat="false" ht="15" hidden="false" customHeight="false" outlineLevel="0" collapsed="false">
      <c r="A51" s="34" t="s">
        <v>464</v>
      </c>
      <c r="B51" s="8" t="s">
        <v>465</v>
      </c>
      <c r="C51" s="34" t="s">
        <v>452</v>
      </c>
      <c r="D51" s="8" t="s">
        <v>453</v>
      </c>
      <c r="E51" s="20"/>
      <c r="F51" s="20"/>
      <c r="G51" s="20"/>
      <c r="H51" s="20"/>
      <c r="I51" s="20"/>
      <c r="J51" s="24" t="n">
        <f aca="false">IFERROR(INDEX(Reference!$A$29:$A$31,MATCH($F51,Reference!$B$29:$B$31,0)),0)</f>
        <v>0</v>
      </c>
      <c r="K51" s="24" t="n">
        <f aca="false">IFERROR(INDEX(Reference!$A$22:$A$25,MATCH($G51,Reference!$B$22:$B$25,0)),-1)</f>
        <v>-1</v>
      </c>
      <c r="L51" s="24" t="n">
        <f aca="false">IF($K51&lt;&gt;3,$K51,IF(LOWER($I51)="y",2,IF($H51="",2,IF(OR('1 Context'!$C$7="",NOT(ISNUMBER(DATEVALUE(TEXT($H51,"yyyy-mm-dd"))))),2,IF(DATEDIF(DATEVALUE(TEXT($H51,"yyyy-mm-dd")),'1 Context'!$C$7,"m")&gt;12,2,3)))))</f>
        <v>-1</v>
      </c>
      <c r="M51" s="24" t="n">
        <f aca="false">IF(AND(LOWER($E51)="y",$J51&gt;0,$K51&gt;=0),1,0)</f>
        <v>0</v>
      </c>
      <c r="N51" s="37" t="n">
        <v>1</v>
      </c>
      <c r="O51" s="35" t="n">
        <f aca="false">IF($M51=0,0,$J51*$N51*(3-$L51))</f>
        <v>0</v>
      </c>
      <c r="P51" s="24" t="n">
        <f aca="false">IF(AND($M51=1,$J51=3,$L51=0),1,0)</f>
        <v>0</v>
      </c>
      <c r="Q51" s="38" t="str">
        <f aca="false">IF(AND($M51=1,$K51=3,$L51&lt;3),IF(LOWER($I51)="y","reverted to 2: proof superseded by a declared change",IF($H51="","reverted to 2: no proof date recorded","reverted to 2: last proven more than 12 months ago")),"")</f>
        <v/>
      </c>
    </row>
    <row r="52" customFormat="false" ht="15" hidden="false" customHeight="false" outlineLevel="0" collapsed="false">
      <c r="A52" s="34" t="s">
        <v>464</v>
      </c>
      <c r="B52" s="8" t="s">
        <v>465</v>
      </c>
      <c r="C52" s="34" t="s">
        <v>454</v>
      </c>
      <c r="D52" s="8" t="s">
        <v>455</v>
      </c>
      <c r="E52" s="20"/>
      <c r="F52" s="20"/>
      <c r="G52" s="20"/>
      <c r="H52" s="20"/>
      <c r="I52" s="20"/>
      <c r="J52" s="24" t="n">
        <f aca="false">IFERROR(INDEX(Reference!$A$29:$A$31,MATCH($F52,Reference!$B$29:$B$31,0)),0)</f>
        <v>0</v>
      </c>
      <c r="K52" s="24" t="n">
        <f aca="false">IFERROR(INDEX(Reference!$A$22:$A$25,MATCH($G52,Reference!$B$22:$B$25,0)),-1)</f>
        <v>-1</v>
      </c>
      <c r="L52" s="24" t="n">
        <f aca="false">IF($K52&lt;&gt;3,$K52,IF(LOWER($I52)="y",2,IF($H52="",2,IF(OR('1 Context'!$C$7="",NOT(ISNUMBER(DATEVALUE(TEXT($H52,"yyyy-mm-dd"))))),2,IF(DATEDIF(DATEVALUE(TEXT($H52,"yyyy-mm-dd")),'1 Context'!$C$7,"m")&gt;12,2,3)))))</f>
        <v>-1</v>
      </c>
      <c r="M52" s="24" t="n">
        <f aca="false">IF(AND(LOWER($E52)="y",$J52&gt;0,$K52&gt;=0),1,0)</f>
        <v>0</v>
      </c>
      <c r="N52" s="37" t="n">
        <v>1</v>
      </c>
      <c r="O52" s="35" t="n">
        <f aca="false">IF($M52=0,0,$J52*$N52*(3-$L52))</f>
        <v>0</v>
      </c>
      <c r="P52" s="24" t="n">
        <f aca="false">IF(AND($M52=1,$J52=3,$L52=0),1,0)</f>
        <v>0</v>
      </c>
      <c r="Q52" s="38" t="str">
        <f aca="false">IF(AND($M52=1,$K52=3,$L52&lt;3),IF(LOWER($I52)="y","reverted to 2: proof superseded by a declared change",IF($H52="","reverted to 2: no proof date recorded","reverted to 2: last proven more than 12 months ago")),"")</f>
        <v/>
      </c>
    </row>
    <row r="53" customFormat="false" ht="23.85" hidden="false" customHeight="false" outlineLevel="0" collapsed="false">
      <c r="A53" s="34" t="s">
        <v>466</v>
      </c>
      <c r="B53" s="8" t="s">
        <v>467</v>
      </c>
      <c r="C53" s="34" t="s">
        <v>440</v>
      </c>
      <c r="D53" s="8" t="s">
        <v>441</v>
      </c>
      <c r="E53" s="20"/>
      <c r="F53" s="20"/>
      <c r="G53" s="20"/>
      <c r="H53" s="20"/>
      <c r="I53" s="20"/>
      <c r="J53" s="24" t="n">
        <f aca="false">IFERROR(INDEX(Reference!$A$29:$A$31,MATCH($F53,Reference!$B$29:$B$31,0)),0)</f>
        <v>0</v>
      </c>
      <c r="K53" s="24" t="n">
        <f aca="false">IFERROR(INDEX(Reference!$A$22:$A$25,MATCH($G53,Reference!$B$22:$B$25,0)),-1)</f>
        <v>-1</v>
      </c>
      <c r="L53" s="24" t="n">
        <f aca="false">IF($K53&lt;&gt;3,$K53,IF(LOWER($I53)="y",2,IF($H53="",2,IF(OR('1 Context'!$C$7="",NOT(ISNUMBER(DATEVALUE(TEXT($H53,"yyyy-mm-dd"))))),2,IF(DATEDIF(DATEVALUE(TEXT($H53,"yyyy-mm-dd")),'1 Context'!$C$7,"m")&gt;12,2,3)))))</f>
        <v>-1</v>
      </c>
      <c r="M53" s="24" t="n">
        <f aca="false">IF(AND(LOWER($E53)="y",$J53&gt;0,$K53&gt;=0),1,0)</f>
        <v>0</v>
      </c>
      <c r="N53" s="37" t="n">
        <v>1</v>
      </c>
      <c r="O53" s="35" t="n">
        <f aca="false">IF($M53=0,0,$J53*$N53*(3-$L53))</f>
        <v>0</v>
      </c>
      <c r="P53" s="24" t="n">
        <f aca="false">IF(AND($M53=1,$J53=3,$L53=0),1,0)</f>
        <v>0</v>
      </c>
      <c r="Q53" s="38" t="str">
        <f aca="false">IF(AND($M53=1,$K53=3,$L53&lt;3),IF(LOWER($I53)="y","reverted to 2: proof superseded by a declared change",IF($H53="","reverted to 2: no proof date recorded","reverted to 2: last proven more than 12 months ago")),"")</f>
        <v/>
      </c>
    </row>
    <row r="54" customFormat="false" ht="23.85" hidden="false" customHeight="false" outlineLevel="0" collapsed="false">
      <c r="A54" s="34" t="s">
        <v>466</v>
      </c>
      <c r="B54" s="8" t="s">
        <v>467</v>
      </c>
      <c r="C54" s="34" t="s">
        <v>442</v>
      </c>
      <c r="D54" s="8" t="s">
        <v>443</v>
      </c>
      <c r="E54" s="20"/>
      <c r="F54" s="20"/>
      <c r="G54" s="20"/>
      <c r="H54" s="20"/>
      <c r="I54" s="20"/>
      <c r="J54" s="24" t="n">
        <f aca="false">IFERROR(INDEX(Reference!$A$29:$A$31,MATCH($F54,Reference!$B$29:$B$31,0)),0)</f>
        <v>0</v>
      </c>
      <c r="K54" s="24" t="n">
        <f aca="false">IFERROR(INDEX(Reference!$A$22:$A$25,MATCH($G54,Reference!$B$22:$B$25,0)),-1)</f>
        <v>-1</v>
      </c>
      <c r="L54" s="24" t="n">
        <f aca="false">IF($K54&lt;&gt;3,$K54,IF(LOWER($I54)="y",2,IF($H54="",2,IF(OR('1 Context'!$C$7="",NOT(ISNUMBER(DATEVALUE(TEXT($H54,"yyyy-mm-dd"))))),2,IF(DATEDIF(DATEVALUE(TEXT($H54,"yyyy-mm-dd")),'1 Context'!$C$7,"m")&gt;12,2,3)))))</f>
        <v>-1</v>
      </c>
      <c r="M54" s="24" t="n">
        <f aca="false">IF(AND(LOWER($E54)="y",$J54&gt;0,$K54&gt;=0),1,0)</f>
        <v>0</v>
      </c>
      <c r="N54" s="37" t="n">
        <v>1</v>
      </c>
      <c r="O54" s="35" t="n">
        <f aca="false">IF($M54=0,0,$J54*$N54*(3-$L54))</f>
        <v>0</v>
      </c>
      <c r="P54" s="24" t="n">
        <f aca="false">IF(AND($M54=1,$J54=3,$L54=0),1,0)</f>
        <v>0</v>
      </c>
      <c r="Q54" s="38" t="str">
        <f aca="false">IF(AND($M54=1,$K54=3,$L54&lt;3),IF(LOWER($I54)="y","reverted to 2: proof superseded by a declared change",IF($H54="","reverted to 2: no proof date recorded","reverted to 2: last proven more than 12 months ago")),"")</f>
        <v/>
      </c>
    </row>
    <row r="55" customFormat="false" ht="23.85" hidden="false" customHeight="false" outlineLevel="0" collapsed="false">
      <c r="A55" s="34" t="s">
        <v>466</v>
      </c>
      <c r="B55" s="8" t="s">
        <v>467</v>
      </c>
      <c r="C55" s="34" t="s">
        <v>444</v>
      </c>
      <c r="D55" s="8" t="s">
        <v>445</v>
      </c>
      <c r="E55" s="20"/>
      <c r="F55" s="20"/>
      <c r="G55" s="20"/>
      <c r="H55" s="20"/>
      <c r="I55" s="20"/>
      <c r="J55" s="24" t="n">
        <f aca="false">IFERROR(INDEX(Reference!$A$29:$A$31,MATCH($F55,Reference!$B$29:$B$31,0)),0)</f>
        <v>0</v>
      </c>
      <c r="K55" s="24" t="n">
        <f aca="false">IFERROR(INDEX(Reference!$A$22:$A$25,MATCH($G55,Reference!$B$22:$B$25,0)),-1)</f>
        <v>-1</v>
      </c>
      <c r="L55" s="24" t="n">
        <f aca="false">IF($K55&lt;&gt;3,$K55,IF(LOWER($I55)="y",2,IF($H55="",2,IF(OR('1 Context'!$C$7="",NOT(ISNUMBER(DATEVALUE(TEXT($H55,"yyyy-mm-dd"))))),2,IF(DATEDIF(DATEVALUE(TEXT($H55,"yyyy-mm-dd")),'1 Context'!$C$7,"m")&gt;12,2,3)))))</f>
        <v>-1</v>
      </c>
      <c r="M55" s="24" t="n">
        <f aca="false">IF(AND(LOWER($E55)="y",$J55&gt;0,$K55&gt;=0),1,0)</f>
        <v>0</v>
      </c>
      <c r="N55" s="37" t="n">
        <v>1</v>
      </c>
      <c r="O55" s="35" t="n">
        <f aca="false">IF($M55=0,0,$J55*$N55*(3-$L55))</f>
        <v>0</v>
      </c>
      <c r="P55" s="24" t="n">
        <f aca="false">IF(AND($M55=1,$J55=3,$L55=0),1,0)</f>
        <v>0</v>
      </c>
      <c r="Q55" s="38" t="str">
        <f aca="false">IF(AND($M55=1,$K55=3,$L55&lt;3),IF(LOWER($I55)="y","reverted to 2: proof superseded by a declared change",IF($H55="","reverted to 2: no proof date recorded","reverted to 2: last proven more than 12 months ago")),"")</f>
        <v/>
      </c>
    </row>
    <row r="56" customFormat="false" ht="23.85" hidden="false" customHeight="false" outlineLevel="0" collapsed="false">
      <c r="A56" s="34" t="s">
        <v>466</v>
      </c>
      <c r="B56" s="8" t="s">
        <v>467</v>
      </c>
      <c r="C56" s="34" t="s">
        <v>446</v>
      </c>
      <c r="D56" s="8" t="s">
        <v>447</v>
      </c>
      <c r="E56" s="20"/>
      <c r="F56" s="20"/>
      <c r="G56" s="20"/>
      <c r="H56" s="20"/>
      <c r="I56" s="20"/>
      <c r="J56" s="24" t="n">
        <f aca="false">IFERROR(INDEX(Reference!$A$29:$A$31,MATCH($F56,Reference!$B$29:$B$31,0)),0)</f>
        <v>0</v>
      </c>
      <c r="K56" s="24" t="n">
        <f aca="false">IFERROR(INDEX(Reference!$A$22:$A$25,MATCH($G56,Reference!$B$22:$B$25,0)),-1)</f>
        <v>-1</v>
      </c>
      <c r="L56" s="24" t="n">
        <f aca="false">IF($K56&lt;&gt;3,$K56,IF(LOWER($I56)="y",2,IF($H56="",2,IF(OR('1 Context'!$C$7="",NOT(ISNUMBER(DATEVALUE(TEXT($H56,"yyyy-mm-dd"))))),2,IF(DATEDIF(DATEVALUE(TEXT($H56,"yyyy-mm-dd")),'1 Context'!$C$7,"m")&gt;12,2,3)))))</f>
        <v>-1</v>
      </c>
      <c r="M56" s="24" t="n">
        <f aca="false">IF(AND(LOWER($E56)="y",$J56&gt;0,$K56&gt;=0),1,0)</f>
        <v>0</v>
      </c>
      <c r="N56" s="37" t="n">
        <v>1</v>
      </c>
      <c r="O56" s="35" t="n">
        <f aca="false">IF($M56=0,0,$J56*$N56*(3-$L56))</f>
        <v>0</v>
      </c>
      <c r="P56" s="24" t="n">
        <f aca="false">IF(AND($M56=1,$J56=3,$L56=0),1,0)</f>
        <v>0</v>
      </c>
      <c r="Q56" s="38" t="str">
        <f aca="false">IF(AND($M56=1,$K56=3,$L56&lt;3),IF(LOWER($I56)="y","reverted to 2: proof superseded by a declared change",IF($H56="","reverted to 2: no proof date recorded","reverted to 2: last proven more than 12 months ago")),"")</f>
        <v/>
      </c>
    </row>
    <row r="57" customFormat="false" ht="23.85" hidden="false" customHeight="false" outlineLevel="0" collapsed="false">
      <c r="A57" s="34" t="s">
        <v>466</v>
      </c>
      <c r="B57" s="8" t="s">
        <v>467</v>
      </c>
      <c r="C57" s="34" t="s">
        <v>448</v>
      </c>
      <c r="D57" s="8" t="s">
        <v>449</v>
      </c>
      <c r="E57" s="20"/>
      <c r="F57" s="20"/>
      <c r="G57" s="20"/>
      <c r="H57" s="20"/>
      <c r="I57" s="20"/>
      <c r="J57" s="24" t="n">
        <f aca="false">IFERROR(INDEX(Reference!$A$29:$A$31,MATCH($F57,Reference!$B$29:$B$31,0)),0)</f>
        <v>0</v>
      </c>
      <c r="K57" s="24" t="n">
        <f aca="false">IFERROR(INDEX(Reference!$A$22:$A$25,MATCH($G57,Reference!$B$22:$B$25,0)),-1)</f>
        <v>-1</v>
      </c>
      <c r="L57" s="24" t="n">
        <f aca="false">IF($K57&lt;&gt;3,$K57,IF(LOWER($I57)="y",2,IF($H57="",2,IF(OR('1 Context'!$C$7="",NOT(ISNUMBER(DATEVALUE(TEXT($H57,"yyyy-mm-dd"))))),2,IF(DATEDIF(DATEVALUE(TEXT($H57,"yyyy-mm-dd")),'1 Context'!$C$7,"m")&gt;12,2,3)))))</f>
        <v>-1</v>
      </c>
      <c r="M57" s="24" t="n">
        <f aca="false">IF(AND(LOWER($E57)="y",$J57&gt;0,$K57&gt;=0),1,0)</f>
        <v>0</v>
      </c>
      <c r="N57" s="37" t="n">
        <v>1</v>
      </c>
      <c r="O57" s="35" t="n">
        <f aca="false">IF($M57=0,0,$J57*$N57*(3-$L57))</f>
        <v>0</v>
      </c>
      <c r="P57" s="24" t="n">
        <f aca="false">IF(AND($M57=1,$J57=3,$L57=0),1,0)</f>
        <v>0</v>
      </c>
      <c r="Q57" s="38" t="str">
        <f aca="false">IF(AND($M57=1,$K57=3,$L57&lt;3),IF(LOWER($I57)="y","reverted to 2: proof superseded by a declared change",IF($H57="","reverted to 2: no proof date recorded","reverted to 2: last proven more than 12 months ago")),"")</f>
        <v/>
      </c>
    </row>
    <row r="58" customFormat="false" ht="23.85" hidden="false" customHeight="false" outlineLevel="0" collapsed="false">
      <c r="A58" s="34" t="s">
        <v>466</v>
      </c>
      <c r="B58" s="8" t="s">
        <v>467</v>
      </c>
      <c r="C58" s="34" t="s">
        <v>450</v>
      </c>
      <c r="D58" s="8" t="s">
        <v>451</v>
      </c>
      <c r="E58" s="20"/>
      <c r="F58" s="20"/>
      <c r="G58" s="20"/>
      <c r="H58" s="20"/>
      <c r="I58" s="20"/>
      <c r="J58" s="24" t="n">
        <f aca="false">IFERROR(INDEX(Reference!$A$29:$A$31,MATCH($F58,Reference!$B$29:$B$31,0)),0)</f>
        <v>0</v>
      </c>
      <c r="K58" s="24" t="n">
        <f aca="false">IFERROR(INDEX(Reference!$A$22:$A$25,MATCH($G58,Reference!$B$22:$B$25,0)),-1)</f>
        <v>-1</v>
      </c>
      <c r="L58" s="24" t="n">
        <f aca="false">IF($K58&lt;&gt;3,$K58,IF(LOWER($I58)="y",2,IF($H58="",2,IF(OR('1 Context'!$C$7="",NOT(ISNUMBER(DATEVALUE(TEXT($H58,"yyyy-mm-dd"))))),2,IF(DATEDIF(DATEVALUE(TEXT($H58,"yyyy-mm-dd")),'1 Context'!$C$7,"m")&gt;12,2,3)))))</f>
        <v>-1</v>
      </c>
      <c r="M58" s="24" t="n">
        <f aca="false">IF(AND(LOWER($E58)="y",$J58&gt;0,$K58&gt;=0),1,0)</f>
        <v>0</v>
      </c>
      <c r="N58" s="37" t="n">
        <v>1</v>
      </c>
      <c r="O58" s="35" t="n">
        <f aca="false">IF($M58=0,0,$J58*$N58*(3-$L58))</f>
        <v>0</v>
      </c>
      <c r="P58" s="24" t="n">
        <f aca="false">IF(AND($M58=1,$J58=3,$L58=0),1,0)</f>
        <v>0</v>
      </c>
      <c r="Q58" s="38" t="str">
        <f aca="false">IF(AND($M58=1,$K58=3,$L58&lt;3),IF(LOWER($I58)="y","reverted to 2: proof superseded by a declared change",IF($H58="","reverted to 2: no proof date recorded","reverted to 2: last proven more than 12 months ago")),"")</f>
        <v/>
      </c>
    </row>
    <row r="59" customFormat="false" ht="23.85" hidden="false" customHeight="false" outlineLevel="0" collapsed="false">
      <c r="A59" s="34" t="s">
        <v>466</v>
      </c>
      <c r="B59" s="8" t="s">
        <v>467</v>
      </c>
      <c r="C59" s="34" t="s">
        <v>452</v>
      </c>
      <c r="D59" s="8" t="s">
        <v>453</v>
      </c>
      <c r="E59" s="20"/>
      <c r="F59" s="20"/>
      <c r="G59" s="20"/>
      <c r="H59" s="20"/>
      <c r="I59" s="20"/>
      <c r="J59" s="24" t="n">
        <f aca="false">IFERROR(INDEX(Reference!$A$29:$A$31,MATCH($F59,Reference!$B$29:$B$31,0)),0)</f>
        <v>0</v>
      </c>
      <c r="K59" s="24" t="n">
        <f aca="false">IFERROR(INDEX(Reference!$A$22:$A$25,MATCH($G59,Reference!$B$22:$B$25,0)),-1)</f>
        <v>-1</v>
      </c>
      <c r="L59" s="24" t="n">
        <f aca="false">IF($K59&lt;&gt;3,$K59,IF(LOWER($I59)="y",2,IF($H59="",2,IF(OR('1 Context'!$C$7="",NOT(ISNUMBER(DATEVALUE(TEXT($H59,"yyyy-mm-dd"))))),2,IF(DATEDIF(DATEVALUE(TEXT($H59,"yyyy-mm-dd")),'1 Context'!$C$7,"m")&gt;12,2,3)))))</f>
        <v>-1</v>
      </c>
      <c r="M59" s="24" t="n">
        <f aca="false">IF(AND(LOWER($E59)="y",$J59&gt;0,$K59&gt;=0),1,0)</f>
        <v>0</v>
      </c>
      <c r="N59" s="37" t="n">
        <v>1</v>
      </c>
      <c r="O59" s="35" t="n">
        <f aca="false">IF($M59=0,0,$J59*$N59*(3-$L59))</f>
        <v>0</v>
      </c>
      <c r="P59" s="24" t="n">
        <f aca="false">IF(AND($M59=1,$J59=3,$L59=0),1,0)</f>
        <v>0</v>
      </c>
      <c r="Q59" s="38" t="str">
        <f aca="false">IF(AND($M59=1,$K59=3,$L59&lt;3),IF(LOWER($I59)="y","reverted to 2: proof superseded by a declared change",IF($H59="","reverted to 2: no proof date recorded","reverted to 2: last proven more than 12 months ago")),"")</f>
        <v/>
      </c>
    </row>
    <row r="60" customFormat="false" ht="23.85" hidden="false" customHeight="false" outlineLevel="0" collapsed="false">
      <c r="A60" s="34" t="s">
        <v>466</v>
      </c>
      <c r="B60" s="8" t="s">
        <v>467</v>
      </c>
      <c r="C60" s="34" t="s">
        <v>454</v>
      </c>
      <c r="D60" s="8" t="s">
        <v>455</v>
      </c>
      <c r="E60" s="20"/>
      <c r="F60" s="20"/>
      <c r="G60" s="20"/>
      <c r="H60" s="20"/>
      <c r="I60" s="20"/>
      <c r="J60" s="24" t="n">
        <f aca="false">IFERROR(INDEX(Reference!$A$29:$A$31,MATCH($F60,Reference!$B$29:$B$31,0)),0)</f>
        <v>0</v>
      </c>
      <c r="K60" s="24" t="n">
        <f aca="false">IFERROR(INDEX(Reference!$A$22:$A$25,MATCH($G60,Reference!$B$22:$B$25,0)),-1)</f>
        <v>-1</v>
      </c>
      <c r="L60" s="24" t="n">
        <f aca="false">IF($K60&lt;&gt;3,$K60,IF(LOWER($I60)="y",2,IF($H60="",2,IF(OR('1 Context'!$C$7="",NOT(ISNUMBER(DATEVALUE(TEXT($H60,"yyyy-mm-dd"))))),2,IF(DATEDIF(DATEVALUE(TEXT($H60,"yyyy-mm-dd")),'1 Context'!$C$7,"m")&gt;12,2,3)))))</f>
        <v>-1</v>
      </c>
      <c r="M60" s="24" t="n">
        <f aca="false">IF(AND(LOWER($E60)="y",$J60&gt;0,$K60&gt;=0),1,0)</f>
        <v>0</v>
      </c>
      <c r="N60" s="37" t="n">
        <v>1</v>
      </c>
      <c r="O60" s="35" t="n">
        <f aca="false">IF($M60=0,0,$J60*$N60*(3-$L60))</f>
        <v>0</v>
      </c>
      <c r="P60" s="24" t="n">
        <f aca="false">IF(AND($M60=1,$J60=3,$L60=0),1,0)</f>
        <v>0</v>
      </c>
      <c r="Q60" s="38" t="str">
        <f aca="false">IF(AND($M60=1,$K60=3,$L60&lt;3),IF(LOWER($I60)="y","reverted to 2: proof superseded by a declared change",IF($H60="","reverted to 2: no proof date recorded","reverted to 2: last proven more than 12 months ago")),"")</f>
        <v/>
      </c>
    </row>
    <row r="61" customFormat="false" ht="15" hidden="false" customHeight="false" outlineLevel="0" collapsed="false">
      <c r="A61" s="34" t="s">
        <v>468</v>
      </c>
      <c r="B61" s="8" t="s">
        <v>469</v>
      </c>
      <c r="C61" s="34" t="s">
        <v>440</v>
      </c>
      <c r="D61" s="8" t="s">
        <v>441</v>
      </c>
      <c r="E61" s="20"/>
      <c r="F61" s="20"/>
      <c r="G61" s="20"/>
      <c r="H61" s="20"/>
      <c r="I61" s="20"/>
      <c r="J61" s="24" t="n">
        <f aca="false">IFERROR(INDEX(Reference!$A$29:$A$31,MATCH($F61,Reference!$B$29:$B$31,0)),0)</f>
        <v>0</v>
      </c>
      <c r="K61" s="24" t="n">
        <f aca="false">IFERROR(INDEX(Reference!$A$22:$A$25,MATCH($G61,Reference!$B$22:$B$25,0)),-1)</f>
        <v>-1</v>
      </c>
      <c r="L61" s="24" t="n">
        <f aca="false">IF($K61&lt;&gt;3,$K61,IF(LOWER($I61)="y",2,IF($H61="",2,IF(OR('1 Context'!$C$7="",NOT(ISNUMBER(DATEVALUE(TEXT($H61,"yyyy-mm-dd"))))),2,IF(DATEDIF(DATEVALUE(TEXT($H61,"yyyy-mm-dd")),'1 Context'!$C$7,"m")&gt;12,2,3)))))</f>
        <v>-1</v>
      </c>
      <c r="M61" s="24" t="n">
        <f aca="false">IF(AND(LOWER($E61)="y",$J61&gt;0,$K61&gt;=0),1,0)</f>
        <v>0</v>
      </c>
      <c r="N61" s="37" t="n">
        <v>0.8</v>
      </c>
      <c r="O61" s="35" t="n">
        <f aca="false">IF($M61=0,0,$J61*$N61*(3-$L61))</f>
        <v>0</v>
      </c>
      <c r="P61" s="24" t="n">
        <f aca="false">IF(AND($M61=1,$J61=3,$L61=0),1,0)</f>
        <v>0</v>
      </c>
      <c r="Q61" s="38" t="str">
        <f aca="false">IF(AND($M61=1,$K61=3,$L61&lt;3),IF(LOWER($I61)="y","reverted to 2: proof superseded by a declared change",IF($H61="","reverted to 2: no proof date recorded","reverted to 2: last proven more than 12 months ago")),"")</f>
        <v/>
      </c>
    </row>
    <row r="62" customFormat="false" ht="15" hidden="false" customHeight="false" outlineLevel="0" collapsed="false">
      <c r="A62" s="34" t="s">
        <v>468</v>
      </c>
      <c r="B62" s="8" t="s">
        <v>469</v>
      </c>
      <c r="C62" s="34" t="s">
        <v>442</v>
      </c>
      <c r="D62" s="8" t="s">
        <v>443</v>
      </c>
      <c r="E62" s="20"/>
      <c r="F62" s="20"/>
      <c r="G62" s="20"/>
      <c r="H62" s="20"/>
      <c r="I62" s="20"/>
      <c r="J62" s="24" t="n">
        <f aca="false">IFERROR(INDEX(Reference!$A$29:$A$31,MATCH($F62,Reference!$B$29:$B$31,0)),0)</f>
        <v>0</v>
      </c>
      <c r="K62" s="24" t="n">
        <f aca="false">IFERROR(INDEX(Reference!$A$22:$A$25,MATCH($G62,Reference!$B$22:$B$25,0)),-1)</f>
        <v>-1</v>
      </c>
      <c r="L62" s="24" t="n">
        <f aca="false">IF($K62&lt;&gt;3,$K62,IF(LOWER($I62)="y",2,IF($H62="",2,IF(OR('1 Context'!$C$7="",NOT(ISNUMBER(DATEVALUE(TEXT($H62,"yyyy-mm-dd"))))),2,IF(DATEDIF(DATEVALUE(TEXT($H62,"yyyy-mm-dd")),'1 Context'!$C$7,"m")&gt;12,2,3)))))</f>
        <v>-1</v>
      </c>
      <c r="M62" s="24" t="n">
        <f aca="false">IF(AND(LOWER($E62)="y",$J62&gt;0,$K62&gt;=0),1,0)</f>
        <v>0</v>
      </c>
      <c r="N62" s="37" t="n">
        <v>0.8</v>
      </c>
      <c r="O62" s="35" t="n">
        <f aca="false">IF($M62=0,0,$J62*$N62*(3-$L62))</f>
        <v>0</v>
      </c>
      <c r="P62" s="24" t="n">
        <f aca="false">IF(AND($M62=1,$J62=3,$L62=0),1,0)</f>
        <v>0</v>
      </c>
      <c r="Q62" s="38" t="str">
        <f aca="false">IF(AND($M62=1,$K62=3,$L62&lt;3),IF(LOWER($I62)="y","reverted to 2: proof superseded by a declared change",IF($H62="","reverted to 2: no proof date recorded","reverted to 2: last proven more than 12 months ago")),"")</f>
        <v/>
      </c>
    </row>
    <row r="63" customFormat="false" ht="15" hidden="false" customHeight="false" outlineLevel="0" collapsed="false">
      <c r="A63" s="34" t="s">
        <v>468</v>
      </c>
      <c r="B63" s="8" t="s">
        <v>469</v>
      </c>
      <c r="C63" s="34" t="s">
        <v>444</v>
      </c>
      <c r="D63" s="8" t="s">
        <v>445</v>
      </c>
      <c r="E63" s="20"/>
      <c r="F63" s="20"/>
      <c r="G63" s="20"/>
      <c r="H63" s="20"/>
      <c r="I63" s="20"/>
      <c r="J63" s="24" t="n">
        <f aca="false">IFERROR(INDEX(Reference!$A$29:$A$31,MATCH($F63,Reference!$B$29:$B$31,0)),0)</f>
        <v>0</v>
      </c>
      <c r="K63" s="24" t="n">
        <f aca="false">IFERROR(INDEX(Reference!$A$22:$A$25,MATCH($G63,Reference!$B$22:$B$25,0)),-1)</f>
        <v>-1</v>
      </c>
      <c r="L63" s="24" t="n">
        <f aca="false">IF($K63&lt;&gt;3,$K63,IF(LOWER($I63)="y",2,IF($H63="",2,IF(OR('1 Context'!$C$7="",NOT(ISNUMBER(DATEVALUE(TEXT($H63,"yyyy-mm-dd"))))),2,IF(DATEDIF(DATEVALUE(TEXT($H63,"yyyy-mm-dd")),'1 Context'!$C$7,"m")&gt;12,2,3)))))</f>
        <v>-1</v>
      </c>
      <c r="M63" s="24" t="n">
        <f aca="false">IF(AND(LOWER($E63)="y",$J63&gt;0,$K63&gt;=0),1,0)</f>
        <v>0</v>
      </c>
      <c r="N63" s="37" t="n">
        <v>0.8</v>
      </c>
      <c r="O63" s="35" t="n">
        <f aca="false">IF($M63=0,0,$J63*$N63*(3-$L63))</f>
        <v>0</v>
      </c>
      <c r="P63" s="24" t="n">
        <f aca="false">IF(AND($M63=1,$J63=3,$L63=0),1,0)</f>
        <v>0</v>
      </c>
      <c r="Q63" s="38" t="str">
        <f aca="false">IF(AND($M63=1,$K63=3,$L63&lt;3),IF(LOWER($I63)="y","reverted to 2: proof superseded by a declared change",IF($H63="","reverted to 2: no proof date recorded","reverted to 2: last proven more than 12 months ago")),"")</f>
        <v/>
      </c>
    </row>
    <row r="64" customFormat="false" ht="15" hidden="false" customHeight="false" outlineLevel="0" collapsed="false">
      <c r="A64" s="34" t="s">
        <v>468</v>
      </c>
      <c r="B64" s="8" t="s">
        <v>469</v>
      </c>
      <c r="C64" s="34" t="s">
        <v>446</v>
      </c>
      <c r="D64" s="8" t="s">
        <v>447</v>
      </c>
      <c r="E64" s="20"/>
      <c r="F64" s="20"/>
      <c r="G64" s="20"/>
      <c r="H64" s="20"/>
      <c r="I64" s="20"/>
      <c r="J64" s="24" t="n">
        <f aca="false">IFERROR(INDEX(Reference!$A$29:$A$31,MATCH($F64,Reference!$B$29:$B$31,0)),0)</f>
        <v>0</v>
      </c>
      <c r="K64" s="24" t="n">
        <f aca="false">IFERROR(INDEX(Reference!$A$22:$A$25,MATCH($G64,Reference!$B$22:$B$25,0)),-1)</f>
        <v>-1</v>
      </c>
      <c r="L64" s="24" t="n">
        <f aca="false">IF($K64&lt;&gt;3,$K64,IF(LOWER($I64)="y",2,IF($H64="",2,IF(OR('1 Context'!$C$7="",NOT(ISNUMBER(DATEVALUE(TEXT($H64,"yyyy-mm-dd"))))),2,IF(DATEDIF(DATEVALUE(TEXT($H64,"yyyy-mm-dd")),'1 Context'!$C$7,"m")&gt;12,2,3)))))</f>
        <v>-1</v>
      </c>
      <c r="M64" s="24" t="n">
        <f aca="false">IF(AND(LOWER($E64)="y",$J64&gt;0,$K64&gt;=0),1,0)</f>
        <v>0</v>
      </c>
      <c r="N64" s="37" t="n">
        <v>0.8</v>
      </c>
      <c r="O64" s="35" t="n">
        <f aca="false">IF($M64=0,0,$J64*$N64*(3-$L64))</f>
        <v>0</v>
      </c>
      <c r="P64" s="24" t="n">
        <f aca="false">IF(AND($M64=1,$J64=3,$L64=0),1,0)</f>
        <v>0</v>
      </c>
      <c r="Q64" s="38" t="str">
        <f aca="false">IF(AND($M64=1,$K64=3,$L64&lt;3),IF(LOWER($I64)="y","reverted to 2: proof superseded by a declared change",IF($H64="","reverted to 2: no proof date recorded","reverted to 2: last proven more than 12 months ago")),"")</f>
        <v/>
      </c>
    </row>
    <row r="65" customFormat="false" ht="15" hidden="false" customHeight="false" outlineLevel="0" collapsed="false">
      <c r="A65" s="34" t="s">
        <v>468</v>
      </c>
      <c r="B65" s="8" t="s">
        <v>469</v>
      </c>
      <c r="C65" s="34" t="s">
        <v>448</v>
      </c>
      <c r="D65" s="8" t="s">
        <v>449</v>
      </c>
      <c r="E65" s="20"/>
      <c r="F65" s="20"/>
      <c r="G65" s="20"/>
      <c r="H65" s="20"/>
      <c r="I65" s="20"/>
      <c r="J65" s="24" t="n">
        <f aca="false">IFERROR(INDEX(Reference!$A$29:$A$31,MATCH($F65,Reference!$B$29:$B$31,0)),0)</f>
        <v>0</v>
      </c>
      <c r="K65" s="24" t="n">
        <f aca="false">IFERROR(INDEX(Reference!$A$22:$A$25,MATCH($G65,Reference!$B$22:$B$25,0)),-1)</f>
        <v>-1</v>
      </c>
      <c r="L65" s="24" t="n">
        <f aca="false">IF($K65&lt;&gt;3,$K65,IF(LOWER($I65)="y",2,IF($H65="",2,IF(OR('1 Context'!$C$7="",NOT(ISNUMBER(DATEVALUE(TEXT($H65,"yyyy-mm-dd"))))),2,IF(DATEDIF(DATEVALUE(TEXT($H65,"yyyy-mm-dd")),'1 Context'!$C$7,"m")&gt;12,2,3)))))</f>
        <v>-1</v>
      </c>
      <c r="M65" s="24" t="n">
        <f aca="false">IF(AND(LOWER($E65)="y",$J65&gt;0,$K65&gt;=0),1,0)</f>
        <v>0</v>
      </c>
      <c r="N65" s="37" t="n">
        <v>0.8</v>
      </c>
      <c r="O65" s="35" t="n">
        <f aca="false">IF($M65=0,0,$J65*$N65*(3-$L65))</f>
        <v>0</v>
      </c>
      <c r="P65" s="24" t="n">
        <f aca="false">IF(AND($M65=1,$J65=3,$L65=0),1,0)</f>
        <v>0</v>
      </c>
      <c r="Q65" s="38" t="str">
        <f aca="false">IF(AND($M65=1,$K65=3,$L65&lt;3),IF(LOWER($I65)="y","reverted to 2: proof superseded by a declared change",IF($H65="","reverted to 2: no proof date recorded","reverted to 2: last proven more than 12 months ago")),"")</f>
        <v/>
      </c>
    </row>
    <row r="66" customFormat="false" ht="15" hidden="false" customHeight="false" outlineLevel="0" collapsed="false">
      <c r="A66" s="34" t="s">
        <v>468</v>
      </c>
      <c r="B66" s="8" t="s">
        <v>469</v>
      </c>
      <c r="C66" s="34" t="s">
        <v>450</v>
      </c>
      <c r="D66" s="8" t="s">
        <v>451</v>
      </c>
      <c r="E66" s="20"/>
      <c r="F66" s="20"/>
      <c r="G66" s="20"/>
      <c r="H66" s="20"/>
      <c r="I66" s="20"/>
      <c r="J66" s="24" t="n">
        <f aca="false">IFERROR(INDEX(Reference!$A$29:$A$31,MATCH($F66,Reference!$B$29:$B$31,0)),0)</f>
        <v>0</v>
      </c>
      <c r="K66" s="24" t="n">
        <f aca="false">IFERROR(INDEX(Reference!$A$22:$A$25,MATCH($G66,Reference!$B$22:$B$25,0)),-1)</f>
        <v>-1</v>
      </c>
      <c r="L66" s="24" t="n">
        <f aca="false">IF($K66&lt;&gt;3,$K66,IF(LOWER($I66)="y",2,IF($H66="",2,IF(OR('1 Context'!$C$7="",NOT(ISNUMBER(DATEVALUE(TEXT($H66,"yyyy-mm-dd"))))),2,IF(DATEDIF(DATEVALUE(TEXT($H66,"yyyy-mm-dd")),'1 Context'!$C$7,"m")&gt;12,2,3)))))</f>
        <v>-1</v>
      </c>
      <c r="M66" s="24" t="n">
        <f aca="false">IF(AND(LOWER($E66)="y",$J66&gt;0,$K66&gt;=0),1,0)</f>
        <v>0</v>
      </c>
      <c r="N66" s="37" t="n">
        <v>0.8</v>
      </c>
      <c r="O66" s="35" t="n">
        <f aca="false">IF($M66=0,0,$J66*$N66*(3-$L66))</f>
        <v>0</v>
      </c>
      <c r="P66" s="24" t="n">
        <f aca="false">IF(AND($M66=1,$J66=3,$L66=0),1,0)</f>
        <v>0</v>
      </c>
      <c r="Q66" s="38" t="str">
        <f aca="false">IF(AND($M66=1,$K66=3,$L66&lt;3),IF(LOWER($I66)="y","reverted to 2: proof superseded by a declared change",IF($H66="","reverted to 2: no proof date recorded","reverted to 2: last proven more than 12 months ago")),"")</f>
        <v/>
      </c>
    </row>
    <row r="67" customFormat="false" ht="15" hidden="false" customHeight="false" outlineLevel="0" collapsed="false">
      <c r="A67" s="34" t="s">
        <v>468</v>
      </c>
      <c r="B67" s="8" t="s">
        <v>469</v>
      </c>
      <c r="C67" s="34" t="s">
        <v>452</v>
      </c>
      <c r="D67" s="8" t="s">
        <v>453</v>
      </c>
      <c r="E67" s="20"/>
      <c r="F67" s="20"/>
      <c r="G67" s="20"/>
      <c r="H67" s="20"/>
      <c r="I67" s="20"/>
      <c r="J67" s="24" t="n">
        <f aca="false">IFERROR(INDEX(Reference!$A$29:$A$31,MATCH($F67,Reference!$B$29:$B$31,0)),0)</f>
        <v>0</v>
      </c>
      <c r="K67" s="24" t="n">
        <f aca="false">IFERROR(INDEX(Reference!$A$22:$A$25,MATCH($G67,Reference!$B$22:$B$25,0)),-1)</f>
        <v>-1</v>
      </c>
      <c r="L67" s="24" t="n">
        <f aca="false">IF($K67&lt;&gt;3,$K67,IF(LOWER($I67)="y",2,IF($H67="",2,IF(OR('1 Context'!$C$7="",NOT(ISNUMBER(DATEVALUE(TEXT($H67,"yyyy-mm-dd"))))),2,IF(DATEDIF(DATEVALUE(TEXT($H67,"yyyy-mm-dd")),'1 Context'!$C$7,"m")&gt;12,2,3)))))</f>
        <v>-1</v>
      </c>
      <c r="M67" s="24" t="n">
        <f aca="false">IF(AND(LOWER($E67)="y",$J67&gt;0,$K67&gt;=0),1,0)</f>
        <v>0</v>
      </c>
      <c r="N67" s="37" t="n">
        <v>0.8</v>
      </c>
      <c r="O67" s="35" t="n">
        <f aca="false">IF($M67=0,0,$J67*$N67*(3-$L67))</f>
        <v>0</v>
      </c>
      <c r="P67" s="24" t="n">
        <f aca="false">IF(AND($M67=1,$J67=3,$L67=0),1,0)</f>
        <v>0</v>
      </c>
      <c r="Q67" s="38" t="str">
        <f aca="false">IF(AND($M67=1,$K67=3,$L67&lt;3),IF(LOWER($I67)="y","reverted to 2: proof superseded by a declared change",IF($H67="","reverted to 2: no proof date recorded","reverted to 2: last proven more than 12 months ago")),"")</f>
        <v/>
      </c>
    </row>
    <row r="68" customFormat="false" ht="15" hidden="false" customHeight="false" outlineLevel="0" collapsed="false">
      <c r="A68" s="34" t="s">
        <v>468</v>
      </c>
      <c r="B68" s="8" t="s">
        <v>469</v>
      </c>
      <c r="C68" s="34" t="s">
        <v>454</v>
      </c>
      <c r="D68" s="8" t="s">
        <v>455</v>
      </c>
      <c r="E68" s="20"/>
      <c r="F68" s="20"/>
      <c r="G68" s="20"/>
      <c r="H68" s="20"/>
      <c r="I68" s="20"/>
      <c r="J68" s="24" t="n">
        <f aca="false">IFERROR(INDEX(Reference!$A$29:$A$31,MATCH($F68,Reference!$B$29:$B$31,0)),0)</f>
        <v>0</v>
      </c>
      <c r="K68" s="24" t="n">
        <f aca="false">IFERROR(INDEX(Reference!$A$22:$A$25,MATCH($G68,Reference!$B$22:$B$25,0)),-1)</f>
        <v>-1</v>
      </c>
      <c r="L68" s="24" t="n">
        <f aca="false">IF($K68&lt;&gt;3,$K68,IF(LOWER($I68)="y",2,IF($H68="",2,IF(OR('1 Context'!$C$7="",NOT(ISNUMBER(DATEVALUE(TEXT($H68,"yyyy-mm-dd"))))),2,IF(DATEDIF(DATEVALUE(TEXT($H68,"yyyy-mm-dd")),'1 Context'!$C$7,"m")&gt;12,2,3)))))</f>
        <v>-1</v>
      </c>
      <c r="M68" s="24" t="n">
        <f aca="false">IF(AND(LOWER($E68)="y",$J68&gt;0,$K68&gt;=0),1,0)</f>
        <v>0</v>
      </c>
      <c r="N68" s="37" t="n">
        <v>0.8</v>
      </c>
      <c r="O68" s="35" t="n">
        <f aca="false">IF($M68=0,0,$J68*$N68*(3-$L68))</f>
        <v>0</v>
      </c>
      <c r="P68" s="24" t="n">
        <f aca="false">IF(AND($M68=1,$J68=3,$L68=0),1,0)</f>
        <v>0</v>
      </c>
      <c r="Q68" s="38" t="str">
        <f aca="false">IF(AND($M68=1,$K68=3,$L68&lt;3),IF(LOWER($I68)="y","reverted to 2: proof superseded by a declared change",IF($H68="","reverted to 2: no proof date recorded","reverted to 2: last proven more than 12 months ago")),"")</f>
        <v/>
      </c>
    </row>
  </sheetData>
  <mergeCells count="2">
    <mergeCell ref="A1:F1"/>
    <mergeCell ref="A2:F2"/>
  </mergeCells>
  <conditionalFormatting sqref="P5:P68">
    <cfRule type="cellIs" priority="2" operator="equal" aboveAverage="0" equalAverage="0" bottom="0" percent="0" rank="0" text="" dxfId="0">
      <formula>1</formula>
    </cfRule>
  </conditionalFormatting>
  <conditionalFormatting sqref="Q5:Q68">
    <cfRule type="cellIs" priority="3" operator="notEqual" aboveAverage="0" equalAverage="0" bottom="0" percent="0" rank="0" text="" dxfId="0">
      <formula>""</formula>
    </cfRule>
  </conditionalFormatting>
  <dataValidations count="3">
    <dataValidation allowBlank="true" errorStyle="stop" operator="between" showDropDown="false" showErrorMessage="false" showInputMessage="false" sqref="E5:E68 I5:I68" type="list">
      <formula1>"y,n"</formula1>
      <formula2>0</formula2>
    </dataValidation>
    <dataValidation allowBlank="true" errorStyle="stop" operator="between" showDropDown="false" showErrorMessage="false" showInputMessage="false" sqref="F5:F68" type="list">
      <formula1>Reference!$B$29:$B$31</formula1>
      <formula2>0</formula2>
    </dataValidation>
    <dataValidation allowBlank="true" errorStyle="stop" operator="between" showDropDown="false" showErrorMessage="false" showInputMessage="false" sqref="G5:G68" type="list">
      <formula1>Reference!$B$22:$B$25</formula1>
      <formula2>0</formula2>
    </dataValidation>
  </dataValidation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7" min="3" style="0" width="11"/>
    <col collapsed="false" customWidth="true" hidden="false" outlineLevel="0" max="8" min="8" style="0" width="13"/>
    <col collapsed="false" customWidth="true" hidden="false" outlineLevel="0" max="9" min="9" style="0" width="66"/>
  </cols>
  <sheetData>
    <row r="1" customFormat="false" ht="15" hidden="false" customHeight="false" outlineLevel="0" collapsed="false">
      <c r="A1" s="1"/>
      <c r="B1" s="1"/>
      <c r="C1" s="1"/>
      <c r="D1" s="1"/>
      <c r="E1" s="1"/>
      <c r="F1" s="1"/>
      <c r="G1" s="1"/>
      <c r="H1" s="1"/>
      <c r="I1" s="1"/>
    </row>
    <row r="2" customFormat="false" ht="19.7" hidden="false" customHeight="false" outlineLevel="0" collapsed="false">
      <c r="A2" s="1"/>
      <c r="B2" s="14" t="s">
        <v>470</v>
      </c>
      <c r="C2" s="1"/>
      <c r="D2" s="1"/>
      <c r="E2" s="1"/>
      <c r="F2" s="1"/>
      <c r="G2" s="1"/>
      <c r="H2" s="1"/>
      <c r="I2" s="1"/>
    </row>
    <row r="3" customFormat="false" ht="22.35" hidden="false" customHeight="false" outlineLevel="0" collapsed="false">
      <c r="A3" s="1"/>
      <c r="B3" s="15" t="s">
        <v>471</v>
      </c>
      <c r="C3" s="1"/>
      <c r="D3" s="1"/>
      <c r="E3" s="1"/>
      <c r="F3" s="1"/>
      <c r="G3" s="1"/>
      <c r="H3" s="1"/>
      <c r="I3" s="1"/>
    </row>
    <row r="4" customFormat="false" ht="15" hidden="false" customHeight="false" outlineLevel="0" collapsed="false">
      <c r="A4" s="1"/>
      <c r="B4" s="1"/>
      <c r="C4" s="1"/>
      <c r="D4" s="1"/>
      <c r="E4" s="1"/>
      <c r="F4" s="1"/>
      <c r="G4" s="1"/>
      <c r="H4" s="1"/>
      <c r="I4" s="1"/>
    </row>
    <row r="5" customFormat="false" ht="26.85" hidden="false" customHeight="false" outlineLevel="0" collapsed="false">
      <c r="A5" s="1"/>
      <c r="B5" s="4" t="s">
        <v>472</v>
      </c>
      <c r="C5" s="1"/>
      <c r="D5" s="1"/>
      <c r="E5" s="1"/>
      <c r="F5" s="1"/>
      <c r="G5" s="1"/>
      <c r="H5" s="1"/>
      <c r="I5" s="1"/>
    </row>
    <row r="6" customFormat="false" ht="31.5" hidden="false" customHeight="true" outlineLevel="0" collapsed="false">
      <c r="A6" s="1"/>
      <c r="B6" s="19" t="s">
        <v>473</v>
      </c>
      <c r="C6" s="19"/>
      <c r="D6" s="19"/>
      <c r="E6" s="19"/>
      <c r="F6" s="19"/>
      <c r="G6" s="19"/>
      <c r="H6" s="19"/>
      <c r="I6" s="19"/>
    </row>
    <row r="7" customFormat="false" ht="30" hidden="false" customHeight="true" outlineLevel="0" collapsed="false">
      <c r="A7" s="1"/>
      <c r="B7" s="6" t="s">
        <v>158</v>
      </c>
      <c r="C7" s="6" t="s">
        <v>474</v>
      </c>
      <c r="D7" s="6" t="s">
        <v>475</v>
      </c>
      <c r="E7" s="6" t="s">
        <v>476</v>
      </c>
      <c r="F7" s="6" t="s">
        <v>477</v>
      </c>
      <c r="G7" s="6" t="s">
        <v>478</v>
      </c>
      <c r="H7" s="6" t="s">
        <v>479</v>
      </c>
      <c r="I7" s="6" t="s">
        <v>480</v>
      </c>
    </row>
    <row r="8" customFormat="false" ht="23.85" hidden="false" customHeight="false" outlineLevel="0" collapsed="false">
      <c r="A8" s="1"/>
      <c r="B8" s="8" t="s">
        <v>179</v>
      </c>
      <c r="C8" s="30" t="n">
        <v>10</v>
      </c>
      <c r="D8" s="25" t="str">
        <f aca="false">IF(SUMPRODUCT(('3 Capabilities'!$A$5:$A$62=$B8)*'3 Capabilities'!$E$5:$E$62*'3 Capabilities'!$S$5:$S$62)=0,"",SUMPRODUCT(('3 Capabilities'!$A$5:$A$62=$B8)*'3 Capabilities'!$E$5:$E$62*'3 Capabilities'!$T$5:$T$62)/SUMPRODUCT(('3 Capabilities'!$A$5:$A$62=$B8)*'3 Capabilities'!$E$5:$E$62*'3 Capabilities'!$S$5:$S$62))</f>
        <v/>
      </c>
      <c r="E8" s="25" t="str">
        <f aca="false">IF(SUMPRODUCT(('3 Capabilities'!$A$5:$A$62=$B8)*'3 Capabilities'!$E$5:$E$62*'3 Capabilities'!$S$5:$S$62)=0,"",SUMPRODUCT(('3 Capabilities'!$A$5:$A$62=$B8)*'3 Capabilities'!$E$5:$E$62*'3 Capabilities'!$U$5:$U$62)/SUMPRODUCT(('3 Capabilities'!$A$5:$A$62=$B8)*'3 Capabilities'!$E$5:$E$62*'3 Capabilities'!$S$5:$S$62))</f>
        <v/>
      </c>
      <c r="F8" s="25" t="str">
        <f aca="false">$E8</f>
        <v/>
      </c>
      <c r="G8" s="25" t="str">
        <f aca="false">$F8</f>
        <v/>
      </c>
      <c r="H8" s="25" t="str">
        <f aca="false">IF($G8="","",IF($G$14="",$G8,MIN($G8,$G$14+1)))</f>
        <v/>
      </c>
      <c r="I8" s="17" t="s">
        <v>481</v>
      </c>
    </row>
    <row r="9" customFormat="false" ht="23.85" hidden="false" customHeight="false" outlineLevel="0" collapsed="false">
      <c r="A9" s="1"/>
      <c r="B9" s="8" t="s">
        <v>208</v>
      </c>
      <c r="C9" s="30" t="n">
        <v>12</v>
      </c>
      <c r="D9" s="25" t="str">
        <f aca="false">IF(SUMPRODUCT(('3 Capabilities'!$A$5:$A$62=$B9)*'3 Capabilities'!$E$5:$E$62*'3 Capabilities'!$S$5:$S$62)=0,"",SUMPRODUCT(('3 Capabilities'!$A$5:$A$62=$B9)*'3 Capabilities'!$E$5:$E$62*'3 Capabilities'!$T$5:$T$62)/SUMPRODUCT(('3 Capabilities'!$A$5:$A$62=$B9)*'3 Capabilities'!$E$5:$E$62*'3 Capabilities'!$S$5:$S$62))</f>
        <v/>
      </c>
      <c r="E9" s="25" t="str">
        <f aca="false">IF(SUMPRODUCT(('3 Capabilities'!$A$5:$A$62=$B9)*'3 Capabilities'!$E$5:$E$62*'3 Capabilities'!$S$5:$S$62)=0,"",SUMPRODUCT(('3 Capabilities'!$A$5:$A$62=$B9)*'3 Capabilities'!$E$5:$E$62*'3 Capabilities'!$U$5:$U$62)/SUMPRODUCT(('3 Capabilities'!$A$5:$A$62=$B9)*'3 Capabilities'!$E$5:$E$62*'3 Capabilities'!$S$5:$S$62))</f>
        <v/>
      </c>
      <c r="F9" s="25" t="str">
        <f aca="false">$E9</f>
        <v/>
      </c>
      <c r="G9" s="25" t="str">
        <f aca="false">$F9</f>
        <v/>
      </c>
      <c r="H9" s="25" t="str">
        <f aca="false">IF($G9="","",IF($G$14="",$G9,MIN($G9,$G$14+1)))</f>
        <v/>
      </c>
      <c r="I9" s="17" t="s">
        <v>482</v>
      </c>
    </row>
    <row r="10" customFormat="false" ht="23.85" hidden="false" customHeight="false" outlineLevel="0" collapsed="false">
      <c r="A10" s="1"/>
      <c r="B10" s="8" t="s">
        <v>233</v>
      </c>
      <c r="C10" s="30" t="n">
        <v>16</v>
      </c>
      <c r="D10" s="25" t="str">
        <f aca="false">IF(SUMPRODUCT(('3 Capabilities'!$A$5:$A$62=$B10)*'3 Capabilities'!$E$5:$E$62*'3 Capabilities'!$S$5:$S$62)=0,"",SUMPRODUCT(('3 Capabilities'!$A$5:$A$62=$B10)*'3 Capabilities'!$E$5:$E$62*'3 Capabilities'!$T$5:$T$62)/SUMPRODUCT(('3 Capabilities'!$A$5:$A$62=$B10)*'3 Capabilities'!$E$5:$E$62*'3 Capabilities'!$S$5:$S$62))</f>
        <v/>
      </c>
      <c r="E10" s="25" t="str">
        <f aca="false">IF(SUMPRODUCT(('3 Capabilities'!$A$5:$A$62=$B10)*'3 Capabilities'!$E$5:$E$62*'3 Capabilities'!$S$5:$S$62)=0,"",SUMPRODUCT(('3 Capabilities'!$A$5:$A$62=$B10)*'3 Capabilities'!$E$5:$E$62*'3 Capabilities'!$U$5:$U$62)/SUMPRODUCT(('3 Capabilities'!$A$5:$A$62=$B10)*'3 Capabilities'!$E$5:$E$62*'3 Capabilities'!$S$5:$S$62))</f>
        <v/>
      </c>
      <c r="F10" s="25" t="str">
        <f aca="false">IF($E10="","",IF('1 Context'!$C$35="",$E10,MIN($E10,'1 Context'!$C$35+1)))</f>
        <v/>
      </c>
      <c r="G10" s="25" t="str">
        <f aca="false">$F10</f>
        <v/>
      </c>
      <c r="H10" s="25" t="str">
        <f aca="false">IF($G10="","",IF($G$14="",$G10,MIN($G10,$G$14+1)))</f>
        <v/>
      </c>
      <c r="I10" s="17" t="s">
        <v>483</v>
      </c>
    </row>
    <row r="11" customFormat="false" ht="23.85" hidden="false" customHeight="false" outlineLevel="0" collapsed="false">
      <c r="A11" s="1"/>
      <c r="B11" s="8" t="s">
        <v>274</v>
      </c>
      <c r="C11" s="30" t="n">
        <v>14</v>
      </c>
      <c r="D11" s="25" t="str">
        <f aca="false">IF(SUMPRODUCT(('3 Capabilities'!$A$5:$A$62=$B11)*'3 Capabilities'!$E$5:$E$62*'3 Capabilities'!$S$5:$S$62)=0,"",SUMPRODUCT(('3 Capabilities'!$A$5:$A$62=$B11)*'3 Capabilities'!$E$5:$E$62*'3 Capabilities'!$T$5:$T$62)/SUMPRODUCT(('3 Capabilities'!$A$5:$A$62=$B11)*'3 Capabilities'!$E$5:$E$62*'3 Capabilities'!$S$5:$S$62))</f>
        <v/>
      </c>
      <c r="E11" s="25" t="str">
        <f aca="false">IF(SUMPRODUCT(('3 Capabilities'!$A$5:$A$62=$B11)*'3 Capabilities'!$E$5:$E$62*'3 Capabilities'!$S$5:$S$62)=0,"",SUMPRODUCT(('3 Capabilities'!$A$5:$A$62=$B11)*'3 Capabilities'!$E$5:$E$62*'3 Capabilities'!$U$5:$U$62)/SUMPRODUCT(('3 Capabilities'!$A$5:$A$62=$B11)*'3 Capabilities'!$E$5:$E$62*'3 Capabilities'!$S$5:$S$62))</f>
        <v/>
      </c>
      <c r="F11" s="25" t="str">
        <f aca="false">IF($E11="","",IF('1 Context'!$C$35="",$E11,MIN($E11,'1 Context'!$C$35+1)))</f>
        <v/>
      </c>
      <c r="G11" s="25" t="str">
        <f aca="false">IF($F11="","",IF($F$9="",$F11,MIN($F11,$F$9+1)))</f>
        <v/>
      </c>
      <c r="H11" s="25" t="str">
        <f aca="false">IF($G11="","",IF($G$14="",$G11,MIN($G11,$G$14+1)))</f>
        <v/>
      </c>
      <c r="I11" s="17" t="s">
        <v>484</v>
      </c>
    </row>
    <row r="12" customFormat="false" ht="15" hidden="false" customHeight="false" outlineLevel="0" collapsed="false">
      <c r="A12" s="1"/>
      <c r="B12" s="8" t="s">
        <v>307</v>
      </c>
      <c r="C12" s="30" t="n">
        <v>12</v>
      </c>
      <c r="D12" s="25" t="str">
        <f aca="false">IF(SUMPRODUCT(('3 Capabilities'!$A$5:$A$62=$B12)*'3 Capabilities'!$E$5:$E$62*'3 Capabilities'!$S$5:$S$62)=0,"",SUMPRODUCT(('3 Capabilities'!$A$5:$A$62=$B12)*'3 Capabilities'!$E$5:$E$62*'3 Capabilities'!$T$5:$T$62)/SUMPRODUCT(('3 Capabilities'!$A$5:$A$62=$B12)*'3 Capabilities'!$E$5:$E$62*'3 Capabilities'!$S$5:$S$62))</f>
        <v/>
      </c>
      <c r="E12" s="25" t="str">
        <f aca="false">IF(SUMPRODUCT(('3 Capabilities'!$A$5:$A$62=$B12)*'3 Capabilities'!$E$5:$E$62*'3 Capabilities'!$S$5:$S$62)=0,"",SUMPRODUCT(('3 Capabilities'!$A$5:$A$62=$B12)*'3 Capabilities'!$E$5:$E$62*'3 Capabilities'!$U$5:$U$62)/SUMPRODUCT(('3 Capabilities'!$A$5:$A$62=$B12)*'3 Capabilities'!$E$5:$E$62*'3 Capabilities'!$S$5:$S$62))</f>
        <v/>
      </c>
      <c r="F12" s="25" t="str">
        <f aca="false">$E12</f>
        <v/>
      </c>
      <c r="G12" s="25" t="str">
        <f aca="false">IF($F12="","",IF($F$9="",$F12,MIN($F12,$F$9+1)))</f>
        <v/>
      </c>
      <c r="H12" s="25" t="str">
        <f aca="false">IF($G12="","",IF($G$14="",$G12,MIN($G12,$G$14+1)))</f>
        <v/>
      </c>
      <c r="I12" s="17" t="s">
        <v>485</v>
      </c>
    </row>
    <row r="13" customFormat="false" ht="23.85" hidden="false" customHeight="false" outlineLevel="0" collapsed="false">
      <c r="A13" s="1"/>
      <c r="B13" s="8" t="s">
        <v>336</v>
      </c>
      <c r="C13" s="30" t="n">
        <v>10</v>
      </c>
      <c r="D13" s="25" t="str">
        <f aca="false">IF(SUMPRODUCT(('3 Capabilities'!$A$5:$A$62=$B13)*'3 Capabilities'!$E$5:$E$62*'3 Capabilities'!$S$5:$S$62)=0,"",SUMPRODUCT(('3 Capabilities'!$A$5:$A$62=$B13)*'3 Capabilities'!$E$5:$E$62*'3 Capabilities'!$T$5:$T$62)/SUMPRODUCT(('3 Capabilities'!$A$5:$A$62=$B13)*'3 Capabilities'!$E$5:$E$62*'3 Capabilities'!$S$5:$S$62))</f>
        <v/>
      </c>
      <c r="E13" s="25" t="str">
        <f aca="false">IF(SUMPRODUCT(('3 Capabilities'!$A$5:$A$62=$B13)*'3 Capabilities'!$E$5:$E$62*'3 Capabilities'!$S$5:$S$62)=0,"",SUMPRODUCT(('3 Capabilities'!$A$5:$A$62=$B13)*'3 Capabilities'!$E$5:$E$62*'3 Capabilities'!$U$5:$U$62)/SUMPRODUCT(('3 Capabilities'!$A$5:$A$62=$B13)*'3 Capabilities'!$E$5:$E$62*'3 Capabilities'!$S$5:$S$62))</f>
        <v/>
      </c>
      <c r="F13" s="25" t="str">
        <f aca="false">IF($E13="","",IF('1 Context'!$C$35="",$E13,MIN($E13,'1 Context'!$C$35+1)))</f>
        <v/>
      </c>
      <c r="G13" s="25" t="str">
        <f aca="false">$F13</f>
        <v/>
      </c>
      <c r="H13" s="25" t="str">
        <f aca="false">IF($G13="","",IF($G$14="",$G13,MIN($G13,$G$14+1)))</f>
        <v/>
      </c>
      <c r="I13" s="17" t="s">
        <v>486</v>
      </c>
    </row>
    <row r="14" customFormat="false" ht="23.85" hidden="false" customHeight="false" outlineLevel="0" collapsed="false">
      <c r="A14" s="1"/>
      <c r="B14" s="8" t="s">
        <v>361</v>
      </c>
      <c r="C14" s="30" t="n">
        <v>14</v>
      </c>
      <c r="D14" s="25" t="str">
        <f aca="false">IF(SUMPRODUCT(('3 Capabilities'!$A$5:$A$62=$B14)*'3 Capabilities'!$E$5:$E$62*'3 Capabilities'!$S$5:$S$62)=0,"",SUMPRODUCT(('3 Capabilities'!$A$5:$A$62=$B14)*'3 Capabilities'!$E$5:$E$62*'3 Capabilities'!$T$5:$T$62)/SUMPRODUCT(('3 Capabilities'!$A$5:$A$62=$B14)*'3 Capabilities'!$E$5:$E$62*'3 Capabilities'!$S$5:$S$62))</f>
        <v/>
      </c>
      <c r="E14" s="25" t="str">
        <f aca="false">IF(SUMPRODUCT(('3 Capabilities'!$A$5:$A$62=$B14)*'3 Capabilities'!$E$5:$E$62*'3 Capabilities'!$S$5:$S$62)=0,"",SUMPRODUCT(('3 Capabilities'!$A$5:$A$62=$B14)*'3 Capabilities'!$E$5:$E$62*'3 Capabilities'!$U$5:$U$62)/SUMPRODUCT(('3 Capabilities'!$A$5:$A$62=$B14)*'3 Capabilities'!$E$5:$E$62*'3 Capabilities'!$S$5:$S$62))</f>
        <v/>
      </c>
      <c r="F14" s="25" t="str">
        <f aca="false">$E14</f>
        <v/>
      </c>
      <c r="G14" s="25" t="str">
        <f aca="false">$F14</f>
        <v/>
      </c>
      <c r="H14" s="25" t="str">
        <f aca="false">$G14</f>
        <v/>
      </c>
      <c r="I14" s="17" t="s">
        <v>487</v>
      </c>
    </row>
    <row r="15" customFormat="false" ht="23.85" hidden="false" customHeight="false" outlineLevel="0" collapsed="false">
      <c r="A15" s="1"/>
      <c r="B15" s="8" t="s">
        <v>390</v>
      </c>
      <c r="C15" s="30" t="n">
        <v>12</v>
      </c>
      <c r="D15" s="25" t="str">
        <f aca="false">IF(SUMPRODUCT(('3 Capabilities'!$A$5:$A$62=$B15)*'3 Capabilities'!$E$5:$E$62*'3 Capabilities'!$S$5:$S$62)=0,"",SUMPRODUCT(('3 Capabilities'!$A$5:$A$62=$B15)*'3 Capabilities'!$E$5:$E$62*'3 Capabilities'!$T$5:$T$62)/SUMPRODUCT(('3 Capabilities'!$A$5:$A$62=$B15)*'3 Capabilities'!$E$5:$E$62*'3 Capabilities'!$S$5:$S$62))</f>
        <v/>
      </c>
      <c r="E15" s="25" t="str">
        <f aca="false">IF(SUMPRODUCT(('3 Capabilities'!$A$5:$A$62=$B15)*'3 Capabilities'!$E$5:$E$62*'3 Capabilities'!$S$5:$S$62)=0,"",SUMPRODUCT(('3 Capabilities'!$A$5:$A$62=$B15)*'3 Capabilities'!$E$5:$E$62*'3 Capabilities'!$U$5:$U$62)/SUMPRODUCT(('3 Capabilities'!$A$5:$A$62=$B15)*'3 Capabilities'!$E$5:$E$62*'3 Capabilities'!$S$5:$S$62))</f>
        <v/>
      </c>
      <c r="F15" s="25" t="str">
        <f aca="false">$E15</f>
        <v/>
      </c>
      <c r="G15" s="25" t="str">
        <f aca="false">$F15</f>
        <v/>
      </c>
      <c r="H15" s="25" t="str">
        <f aca="false">IF($G15="","",IF($G$14="",$G15,MIN($G15,$G$14+1)))</f>
        <v/>
      </c>
      <c r="I15" s="17" t="s">
        <v>488</v>
      </c>
    </row>
    <row r="16" customFormat="false" ht="15" hidden="false" customHeight="false" outlineLevel="0" collapsed="false">
      <c r="A16" s="1"/>
      <c r="B16" s="1"/>
      <c r="C16" s="1"/>
      <c r="D16" s="1"/>
      <c r="E16" s="1"/>
      <c r="F16" s="1"/>
      <c r="G16" s="1"/>
      <c r="H16" s="1"/>
      <c r="I16" s="1"/>
    </row>
    <row r="17" customFormat="false" ht="15" hidden="false" customHeight="false" outlineLevel="0" collapsed="false">
      <c r="A17" s="1"/>
      <c r="B17" s="4" t="s">
        <v>489</v>
      </c>
      <c r="C17" s="1"/>
      <c r="D17" s="1"/>
      <c r="E17" s="1"/>
      <c r="F17" s="1"/>
      <c r="G17" s="1"/>
      <c r="H17" s="1"/>
      <c r="I17" s="1"/>
    </row>
    <row r="18" customFormat="false" ht="30" hidden="false" customHeight="true" outlineLevel="0" collapsed="false">
      <c r="A18" s="1"/>
      <c r="B18" s="6" t="s">
        <v>490</v>
      </c>
      <c r="C18" s="6" t="s">
        <v>491</v>
      </c>
      <c r="D18" s="6"/>
      <c r="E18" s="6"/>
      <c r="F18" s="6"/>
      <c r="G18" s="6"/>
      <c r="H18" s="6"/>
      <c r="I18" s="6" t="s">
        <v>492</v>
      </c>
    </row>
    <row r="19" customFormat="false" ht="25.5" hidden="false" customHeight="true" outlineLevel="0" collapsed="false">
      <c r="A19" s="1"/>
      <c r="B19" s="7" t="s">
        <v>493</v>
      </c>
      <c r="C19" s="25" t="n">
        <f aca="false">IF(SUMPRODUCT('5 Results'!$C$8:$C$15,--('5 Results'!$D$8:$D$15&lt;&gt;""))=0,0,SUMPRODUCT('5 Results'!$C$8:$C$15,IF('5 Results'!$D$8:$D$15="",0,'5 Results'!$D$8:$D$15))/SUMPRODUCT('5 Results'!$C$8:$C$15,--('5 Results'!$D$8:$D$15&lt;&gt;"")))</f>
        <v>0</v>
      </c>
      <c r="D19" s="1"/>
      <c r="E19" s="1"/>
      <c r="F19" s="1"/>
      <c r="G19" s="1"/>
      <c r="H19" s="1"/>
      <c r="I19" s="17" t="s">
        <v>494</v>
      </c>
    </row>
    <row r="20" customFormat="false" ht="25.5" hidden="false" customHeight="true" outlineLevel="0" collapsed="false">
      <c r="A20" s="1"/>
      <c r="B20" s="39" t="s">
        <v>495</v>
      </c>
      <c r="C20" s="40" t="n">
        <f aca="false">IF(SUMPRODUCT('5 Results'!$C$8:$C$15,--('5 Results'!$H$8:$H$15&lt;&gt;""))=0,0,SUMPRODUCT('5 Results'!$C$8:$C$15,IF('5 Results'!$H$8:$H$15="",0,'5 Results'!$H$8:$H$15))/SUMPRODUCT('5 Results'!$C$8:$C$15,--('5 Results'!$H$8:$H$15&lt;&gt;"")))</f>
        <v>0</v>
      </c>
      <c r="D20" s="1"/>
      <c r="E20" s="1"/>
      <c r="F20" s="1"/>
      <c r="G20" s="1"/>
      <c r="H20" s="1"/>
      <c r="I20" s="17" t="s">
        <v>496</v>
      </c>
    </row>
    <row r="21" customFormat="false" ht="25.5" hidden="false" customHeight="true" outlineLevel="0" collapsed="false">
      <c r="A21" s="1"/>
      <c r="B21" s="7" t="s">
        <v>497</v>
      </c>
      <c r="C21" s="41" t="str">
        <f aca="false">SUMPRODUCT(--('5 Results'!$H$8:$H$15&lt;&gt;""))&amp;" of 8"</f>
        <v>0 of 8</v>
      </c>
      <c r="D21" s="1"/>
      <c r="E21" s="1"/>
      <c r="F21" s="1"/>
      <c r="G21" s="1"/>
      <c r="H21" s="1"/>
      <c r="I21" s="17" t="s">
        <v>498</v>
      </c>
    </row>
    <row r="22" customFormat="false" ht="25.5" hidden="false" customHeight="true" outlineLevel="0" collapsed="false">
      <c r="A22" s="1"/>
      <c r="B22" s="7" t="s">
        <v>499</v>
      </c>
      <c r="C22" s="41" t="str">
        <f aca="false">SUM('3 Capabilities'!$S$5:$S$62)&amp;" of 58"</f>
        <v>0 of 58</v>
      </c>
      <c r="D22" s="1"/>
      <c r="E22" s="1"/>
      <c r="F22" s="1"/>
      <c r="G22" s="1"/>
      <c r="H22" s="1"/>
      <c r="I22" s="17" t="s">
        <v>500</v>
      </c>
    </row>
    <row r="23" customFormat="false" ht="25.5" hidden="false" customHeight="true" outlineLevel="0" collapsed="false">
      <c r="A23" s="1"/>
      <c r="B23" s="7" t="s">
        <v>501</v>
      </c>
      <c r="C23" s="25" t="n">
        <f aca="false">'5 Results'!$C$19-'5 Results'!$C$20</f>
        <v>0</v>
      </c>
      <c r="D23" s="1"/>
      <c r="E23" s="1"/>
      <c r="F23" s="1"/>
      <c r="G23" s="1"/>
      <c r="H23" s="1"/>
      <c r="I23" s="17" t="s">
        <v>502</v>
      </c>
    </row>
    <row r="24" customFormat="false" ht="15" hidden="false" customHeight="false" outlineLevel="0" collapsed="false">
      <c r="A24" s="1"/>
      <c r="B24" s="1"/>
      <c r="C24" s="1"/>
      <c r="D24" s="1"/>
      <c r="E24" s="1"/>
      <c r="F24" s="1"/>
      <c r="G24" s="1"/>
      <c r="H24" s="1"/>
      <c r="I24" s="1"/>
    </row>
    <row r="25" customFormat="false" ht="15" hidden="false" customHeight="false" outlineLevel="0" collapsed="false">
      <c r="A25" s="1"/>
      <c r="B25" s="4" t="s">
        <v>503</v>
      </c>
      <c r="C25" s="1"/>
      <c r="D25" s="1"/>
      <c r="E25" s="1"/>
      <c r="F25" s="1"/>
      <c r="G25" s="1"/>
      <c r="H25" s="1"/>
      <c r="I25" s="1"/>
    </row>
    <row r="26" customFormat="false" ht="30" hidden="false" customHeight="true" outlineLevel="0" collapsed="false">
      <c r="A26" s="1"/>
      <c r="B26" s="6" t="s">
        <v>490</v>
      </c>
      <c r="C26" s="6" t="s">
        <v>491</v>
      </c>
      <c r="D26" s="6"/>
      <c r="E26" s="6"/>
      <c r="F26" s="6"/>
      <c r="G26" s="6"/>
      <c r="H26" s="6"/>
      <c r="I26" s="6" t="s">
        <v>492</v>
      </c>
    </row>
    <row r="27" customFormat="false" ht="25.5" hidden="false" customHeight="true" outlineLevel="0" collapsed="false">
      <c r="A27" s="1"/>
      <c r="B27" s="7" t="s">
        <v>504</v>
      </c>
      <c r="C27" s="24" t="n">
        <f aca="false">SUM('4 Lattice'!$M$5:$M$68)</f>
        <v>0</v>
      </c>
      <c r="D27" s="1"/>
      <c r="E27" s="1"/>
      <c r="F27" s="1"/>
      <c r="G27" s="1"/>
      <c r="H27" s="1"/>
      <c r="I27" s="17" t="s">
        <v>505</v>
      </c>
    </row>
    <row r="28" customFormat="false" ht="25.5" hidden="false" customHeight="true" outlineLevel="0" collapsed="false">
      <c r="A28" s="1"/>
      <c r="B28" s="7" t="s">
        <v>506</v>
      </c>
      <c r="C28" s="29" t="n">
        <f aca="false">IF(SUM('4 Lattice'!$M$5:$M$68)=0,0,SUMPRODUCT('4 Lattice'!$M$5:$M$68,'4 Lattice'!$L$5:$L$68)/(3*SUM('4 Lattice'!$M$5:$M$68)))</f>
        <v>0</v>
      </c>
      <c r="D28" s="1"/>
      <c r="E28" s="1"/>
      <c r="F28" s="1"/>
      <c r="G28" s="1"/>
      <c r="H28" s="1"/>
      <c r="I28" s="17" t="s">
        <v>507</v>
      </c>
    </row>
    <row r="29" customFormat="false" ht="25.5" hidden="false" customHeight="true" outlineLevel="0" collapsed="false">
      <c r="A29" s="1"/>
      <c r="B29" s="7" t="s">
        <v>508</v>
      </c>
      <c r="C29" s="29" t="n">
        <f aca="false">IF(SUMPRODUCT('4 Lattice'!$M$5:$M$68,'4 Lattice'!$J$5:$J$68)=0,0,SUMPRODUCT('4 Lattice'!$M$5:$M$68,'4 Lattice'!$J$5:$J$68,'4 Lattice'!$L$5:$L$68)/(3*SUMPRODUCT('4 Lattice'!$M$5:$M$68,'4 Lattice'!$J$5:$J$68)))</f>
        <v>0</v>
      </c>
      <c r="D29" s="1"/>
      <c r="E29" s="1"/>
      <c r="F29" s="1"/>
      <c r="G29" s="1"/>
      <c r="H29" s="1"/>
      <c r="I29" s="17" t="s">
        <v>509</v>
      </c>
    </row>
    <row r="30" customFormat="false" ht="25.5" hidden="false" customHeight="true" outlineLevel="0" collapsed="false">
      <c r="A30" s="1"/>
      <c r="B30" s="7" t="s">
        <v>510</v>
      </c>
      <c r="C30" s="29" t="n">
        <f aca="false">'5 Results'!$C$29-'5 Results'!$C$28</f>
        <v>0</v>
      </c>
      <c r="D30" s="1"/>
      <c r="E30" s="1"/>
      <c r="F30" s="1"/>
      <c r="G30" s="1"/>
      <c r="H30" s="1"/>
      <c r="I30" s="17" t="s">
        <v>511</v>
      </c>
    </row>
    <row r="31" customFormat="false" ht="25.5" hidden="false" customHeight="true" outlineLevel="0" collapsed="false">
      <c r="A31" s="1"/>
      <c r="B31" s="7" t="s">
        <v>512</v>
      </c>
      <c r="C31" s="29" t="n">
        <f aca="false">IF(SUM('4 Lattice'!$M$5:$M$68)=0,0,SUMPRODUCT('4 Lattice'!$M$5:$M$68,--('4 Lattice'!$L$5:$L$68&gt;=2))/SUM('4 Lattice'!$M$5:$M$68))</f>
        <v>0</v>
      </c>
      <c r="D31" s="1"/>
      <c r="E31" s="1"/>
      <c r="F31" s="1"/>
      <c r="G31" s="1"/>
      <c r="H31" s="1"/>
      <c r="I31" s="17" t="s">
        <v>513</v>
      </c>
    </row>
    <row r="32" customFormat="false" ht="25.5" hidden="false" customHeight="true" outlineLevel="0" collapsed="false">
      <c r="A32" s="1"/>
      <c r="B32" s="7" t="s">
        <v>514</v>
      </c>
      <c r="C32" s="29" t="n">
        <f aca="false">IF(SUM('4 Lattice'!$M$5:$M$68)=0,0,SUMPRODUCT('4 Lattice'!$M$5:$M$68,--('4 Lattice'!$L$5:$L$68=3))/SUM('4 Lattice'!$M$5:$M$68))</f>
        <v>0</v>
      </c>
      <c r="D32" s="1"/>
      <c r="E32" s="1"/>
      <c r="F32" s="1"/>
      <c r="G32" s="1"/>
      <c r="H32" s="1"/>
      <c r="I32" s="17" t="s">
        <v>515</v>
      </c>
    </row>
    <row r="33" customFormat="false" ht="25.5" hidden="false" customHeight="true" outlineLevel="0" collapsed="false">
      <c r="A33" s="1"/>
      <c r="B33" s="7" t="s">
        <v>516</v>
      </c>
      <c r="C33" s="24" t="n">
        <f aca="false">SUM('4 Lattice'!$P$5:$P$68)</f>
        <v>0</v>
      </c>
      <c r="D33" s="1"/>
      <c r="E33" s="1"/>
      <c r="F33" s="1"/>
      <c r="G33" s="1"/>
      <c r="H33" s="1"/>
      <c r="I33" s="17" t="s">
        <v>517</v>
      </c>
    </row>
    <row r="34" customFormat="false" ht="15" hidden="false" customHeight="false" outlineLevel="0" collapsed="false">
      <c r="A34" s="1"/>
      <c r="B34" s="1"/>
      <c r="C34" s="1"/>
      <c r="D34" s="1"/>
      <c r="E34" s="1"/>
      <c r="F34" s="1"/>
      <c r="G34" s="1"/>
      <c r="H34" s="1"/>
      <c r="I34" s="1"/>
    </row>
    <row r="35" customFormat="false" ht="15" hidden="false" customHeight="false" outlineLevel="0" collapsed="false">
      <c r="A35" s="1"/>
      <c r="B35" s="4" t="s">
        <v>518</v>
      </c>
      <c r="C35" s="1"/>
      <c r="D35" s="1"/>
      <c r="E35" s="1"/>
      <c r="F35" s="1"/>
      <c r="G35" s="1"/>
      <c r="H35" s="1"/>
      <c r="I35" s="1"/>
    </row>
    <row r="36" customFormat="false" ht="30" hidden="false" customHeight="true" outlineLevel="0" collapsed="false">
      <c r="A36" s="1"/>
      <c r="B36" s="6" t="s">
        <v>519</v>
      </c>
      <c r="C36" s="6" t="s">
        <v>35</v>
      </c>
      <c r="D36" s="6"/>
      <c r="E36" s="6"/>
      <c r="F36" s="6"/>
      <c r="G36" s="6"/>
      <c r="H36" s="6"/>
      <c r="I36" s="6" t="s">
        <v>520</v>
      </c>
    </row>
    <row r="37" customFormat="false" ht="15" hidden="false" customHeight="false" outlineLevel="0" collapsed="false">
      <c r="A37" s="1"/>
      <c r="B37" s="7" t="s">
        <v>521</v>
      </c>
      <c r="C37" s="24" t="n">
        <f aca="false">MIN(5,INT('5 Results'!$C$20))</f>
        <v>0</v>
      </c>
      <c r="D37" s="1"/>
      <c r="E37" s="1"/>
      <c r="F37" s="1"/>
      <c r="G37" s="1"/>
      <c r="H37" s="1"/>
      <c r="I37" s="17" t="s">
        <v>522</v>
      </c>
    </row>
    <row r="38" customFormat="false" ht="15" hidden="false" customHeight="false" outlineLevel="0" collapsed="false">
      <c r="A38" s="1"/>
      <c r="B38" s="7" t="s">
        <v>523</v>
      </c>
      <c r="C38" s="24" t="n">
        <f aca="false">IF('2 Actors &amp; tempo'!$C$18="",3,IF('2 Actors &amp; tempo'!$C$18&gt;=2,1,IF('2 Actors &amp; tempo'!$C$18&gt;=1,2,5)))</f>
        <v>3</v>
      </c>
      <c r="D38" s="1"/>
      <c r="E38" s="1"/>
      <c r="F38" s="1"/>
      <c r="G38" s="1"/>
      <c r="H38" s="1"/>
      <c r="I38" s="17" t="str">
        <f aca="false">IF('2 Actors &amp; tempo'!$C$18="","No tempo measurement supplied, so L4 and L5 are unassessable.",IF('2 Actors &amp; tempo'!$C$18&gt;=2,"Containment takes more than twice the breakout window.",IF('2 Actors &amp; tempo'!$C$18&gt;=1,"Containment lands after the adversary has already moved.","Response is inside the breakout window.")))</f>
        <v>No tempo measurement supplied, so L4 and L5 are unassessable.</v>
      </c>
    </row>
    <row r="39" customFormat="false" ht="15" hidden="false" customHeight="false" outlineLevel="0" collapsed="false">
      <c r="A39" s="1"/>
      <c r="B39" s="7" t="s">
        <v>524</v>
      </c>
      <c r="C39" s="24" t="n">
        <f aca="false">IF('5 Results'!$C$33&gt;0,2,5)</f>
        <v>5</v>
      </c>
      <c r="D39" s="1"/>
      <c r="E39" s="1"/>
      <c r="F39" s="1"/>
      <c r="G39" s="1"/>
      <c r="H39" s="1"/>
      <c r="I39" s="17" t="str">
        <f aca="false">IF('5 Results'!$C$33&gt;0,TEXT('5 Results'!$C$33,"0")&amp;" crown-jewel cell(s) have no response option at all.","No crown-jewel cell is blind.")</f>
        <v>No crown-jewel cell is blind.</v>
      </c>
    </row>
    <row r="40" customFormat="false" ht="15" hidden="false" customHeight="false" outlineLevel="0" collapsed="false">
      <c r="A40" s="1"/>
      <c r="B40" s="7" t="s">
        <v>525</v>
      </c>
      <c r="C40" s="24" t="n">
        <f aca="false">IF('1 Context'!$C$36="none",5,IF('1 Context'!$C$36="L4",4,3))</f>
        <v>3</v>
      </c>
      <c r="D40" s="1"/>
      <c r="E40" s="1"/>
      <c r="F40" s="1"/>
      <c r="G40" s="1"/>
      <c r="H40" s="1"/>
      <c r="I40" s="17" t="str">
        <f aca="false">IF('1 Context'!$C$36="none","Detection maturity imported from an audited TID-CMM assessment.",IF('1 Context'!$C$36="L4","Detection self-assessed. Sufficient to assess response to L4; L5 needs an audited detection assessment.","No detection figure supplied, so the response score rests on an unaudited claim."))</f>
        <v>No detection figure supplied, so the response score rests on an unaudited claim.</v>
      </c>
    </row>
    <row r="41" customFormat="false" ht="15" hidden="false" customHeight="false" outlineLevel="0" collapsed="false">
      <c r="A41" s="1"/>
      <c r="B41" s="7" t="s">
        <v>526</v>
      </c>
      <c r="C41" s="24" t="n">
        <f aca="false">IF('1 Context'!$E$11="none",5,IF('1 Context'!$E$11="L4",4,3))</f>
        <v>4</v>
      </c>
      <c r="D41" s="1"/>
      <c r="E41" s="1"/>
      <c r="F41" s="1"/>
      <c r="G41" s="1"/>
      <c r="H41" s="1"/>
      <c r="I41" s="17" t="str">
        <f aca="false">IF('1 Context'!$E$11="none","Assurance depth. No ceiling from assessment depth.","A "&amp;'1 Context'!$E$11&amp;" ceiling applies: this depth of assessment cannot evidence a higher band.")</f>
        <v>A L4 ceiling applies: this depth of assessment cannot evidence a higher band.</v>
      </c>
    </row>
    <row r="42" customFormat="false" ht="33.75" hidden="false" customHeight="true" outlineLevel="0" collapsed="false">
      <c r="A42" s="1"/>
      <c r="B42" s="21" t="s">
        <v>527</v>
      </c>
      <c r="C42" s="42" t="n">
        <f aca="false">MIN('5 Results'!$C$37,'5 Results'!$C$38,'5 Results'!$C$39,'5 Results'!$C$40,'5 Results'!$C$41)</f>
        <v>0</v>
      </c>
      <c r="D42" s="1"/>
      <c r="E42" s="1"/>
      <c r="F42" s="1"/>
      <c r="G42" s="1"/>
      <c r="H42" s="1"/>
      <c r="I42" s="43" t="str">
        <f aca="false">"L"&amp;TEXT('5 Results'!$C$42,"0")&amp;" — "&amp;IFERROR(INDEX(Reference!$B$6:$B$11,MATCH('5 Results'!$C$42,Reference!$C$6:$C$11,1)),"")&amp;". "&amp;IF('5 Results'!$C$42&lt;'5 Results'!$C$37,"The score alone would have supported L"&amp;TEXT('5 Results'!$C$37,"0")&amp;"; an integrity ceiling is holding it down.","No ceiling is binding — the score stands on its own.")</f>
        <v>L0 — Improvised. No ceiling is binding — the score stands on its own.</v>
      </c>
    </row>
    <row r="43" customFormat="false" ht="15" hidden="false" customHeight="false" outlineLevel="0" collapsed="false">
      <c r="A43" s="1"/>
      <c r="B43" s="1"/>
      <c r="C43" s="1"/>
      <c r="D43" s="1"/>
      <c r="E43" s="1"/>
      <c r="F43" s="1"/>
      <c r="G43" s="1"/>
      <c r="H43" s="1"/>
      <c r="I43" s="1"/>
    </row>
    <row r="44" customFormat="false" ht="15" hidden="false" customHeight="false" outlineLevel="0" collapsed="false">
      <c r="A44" s="1"/>
      <c r="B44" s="4" t="s">
        <v>528</v>
      </c>
      <c r="C44" s="1"/>
      <c r="D44" s="1"/>
      <c r="E44" s="1"/>
      <c r="F44" s="1"/>
      <c r="G44" s="1"/>
      <c r="H44" s="1"/>
      <c r="I44" s="1"/>
    </row>
    <row r="45" customFormat="false" ht="43.5" hidden="false" customHeight="true" outlineLevel="0" collapsed="false">
      <c r="A45" s="1"/>
      <c r="B45" s="19" t="s">
        <v>529</v>
      </c>
      <c r="C45" s="19"/>
      <c r="D45" s="19"/>
      <c r="E45" s="19"/>
      <c r="F45" s="19"/>
      <c r="G45" s="19"/>
      <c r="H45" s="19"/>
      <c r="I45" s="19"/>
    </row>
    <row r="46" customFormat="false" ht="30" hidden="false" customHeight="true" outlineLevel="0" collapsed="false">
      <c r="A46" s="1"/>
      <c r="B46" s="6" t="s">
        <v>530</v>
      </c>
      <c r="C46" s="6" t="s">
        <v>531</v>
      </c>
      <c r="D46" s="6" t="s">
        <v>532</v>
      </c>
      <c r="E46" s="6" t="s">
        <v>533</v>
      </c>
      <c r="F46" s="6"/>
      <c r="G46" s="6"/>
      <c r="H46" s="6"/>
      <c r="I46" s="6" t="s">
        <v>534</v>
      </c>
    </row>
    <row r="47" customFormat="false" ht="43.5" hidden="false" customHeight="true" outlineLevel="0" collapsed="false">
      <c r="A47" s="1"/>
      <c r="B47" s="8" t="s">
        <v>535</v>
      </c>
      <c r="C47" s="25" t="n">
        <f aca="false">IF(SUMPRODUCT('3 Capabilities'!$P$5:$P$62,'3 Capabilities'!$S$5:$S$62)=0,0,SUMPRODUCT('3 Capabilities'!$P$5:$P$62,'3 Capabilities'!$U$5:$U$62)/SUMPRODUCT('3 Capabilities'!$P$5:$P$62,'3 Capabilities'!$S$5:$S$62))</f>
        <v>0</v>
      </c>
      <c r="D47" s="25" t="n">
        <f aca="false">IF('5 Results'!$H$14="",$C47,MIN($C47,'5 Results'!$H$14+1))</f>
        <v>0</v>
      </c>
      <c r="E47" s="18" t="str">
        <f aca="false">IF($C47&gt;$D47+0.005,"yes","no")</f>
        <v>no</v>
      </c>
      <c r="F47" s="1"/>
      <c r="G47" s="1"/>
      <c r="H47" s="1"/>
      <c r="I47" s="17" t="s">
        <v>536</v>
      </c>
    </row>
    <row r="48" customFormat="false" ht="43.5" hidden="false" customHeight="true" outlineLevel="0" collapsed="false">
      <c r="A48" s="1"/>
      <c r="B48" s="8" t="s">
        <v>537</v>
      </c>
      <c r="C48" s="25" t="n">
        <f aca="false">IF(SUMPRODUCT('3 Capabilities'!$Q$5:$Q$62,'3 Capabilities'!$S$5:$S$62)=0,0,SUMPRODUCT('3 Capabilities'!$Q$5:$Q$62,'3 Capabilities'!$U$5:$U$62)/SUMPRODUCT('3 Capabilities'!$Q$5:$Q$62,'3 Capabilities'!$S$5:$S$62))</f>
        <v>0</v>
      </c>
      <c r="D48" s="25" t="n">
        <f aca="false">IF('5 Results'!$H$14="",$C48,MIN($C48,'5 Results'!$H$14+1))</f>
        <v>0</v>
      </c>
      <c r="E48" s="18" t="str">
        <f aca="false">IF($C48&gt;$D48+0.005,"yes","no")</f>
        <v>no</v>
      </c>
      <c r="F48" s="1"/>
      <c r="G48" s="1"/>
      <c r="H48" s="1"/>
      <c r="I48" s="17" t="s">
        <v>538</v>
      </c>
    </row>
    <row r="49" customFormat="false" ht="43.5" hidden="false" customHeight="true" outlineLevel="0" collapsed="false">
      <c r="A49" s="1"/>
      <c r="B49" s="8" t="s">
        <v>539</v>
      </c>
      <c r="C49" s="25" t="n">
        <f aca="false">IF(SUMPRODUCT('3 Capabilities'!$R$5:$R$62,'3 Capabilities'!$S$5:$S$62)=0,0,SUMPRODUCT('3 Capabilities'!$R$5:$R$62,'3 Capabilities'!$U$5:$U$62)/SUMPRODUCT('3 Capabilities'!$R$5:$R$62,'3 Capabilities'!$S$5:$S$62))</f>
        <v>0</v>
      </c>
      <c r="D49" s="25" t="n">
        <f aca="false">IF('5 Results'!$H$14="",$C49,MIN($C49,'5 Results'!$H$14+1))</f>
        <v>0</v>
      </c>
      <c r="E49" s="18" t="str">
        <f aca="false">IF($C49&gt;$D49+0.005,"yes","no")</f>
        <v>no</v>
      </c>
      <c r="F49" s="1"/>
      <c r="G49" s="1"/>
      <c r="H49" s="1"/>
      <c r="I49" s="17" t="s">
        <v>540</v>
      </c>
    </row>
    <row r="50" customFormat="false" ht="15" hidden="false" customHeight="false" outlineLevel="0" collapsed="false">
      <c r="A50" s="1"/>
      <c r="B50" s="1"/>
      <c r="C50" s="1"/>
      <c r="D50" s="1"/>
      <c r="E50" s="1"/>
      <c r="F50" s="1"/>
      <c r="G50" s="1"/>
      <c r="H50" s="1"/>
      <c r="I50" s="1"/>
    </row>
    <row r="51" customFormat="false" ht="22.35" hidden="false" customHeight="false" outlineLevel="0" collapsed="false">
      <c r="A51" s="1"/>
      <c r="B51" s="7" t="s">
        <v>541</v>
      </c>
      <c r="C51" s="24" t="n">
        <f aca="false">SUMPRODUCT(--('3 Capabilities'!$U$5:$U$62&lt;'3 Capabilities'!$T$5:$T$62))</f>
        <v>0</v>
      </c>
      <c r="D51" s="1"/>
      <c r="E51" s="1"/>
      <c r="F51" s="1"/>
      <c r="G51" s="1"/>
      <c r="H51" s="1"/>
      <c r="I51" s="17" t="s">
        <v>542</v>
      </c>
    </row>
    <row r="52" customFormat="false" ht="15" hidden="false" customHeight="false" outlineLevel="0" collapsed="false">
      <c r="A52" s="1"/>
      <c r="B52" s="1"/>
      <c r="C52" s="1"/>
      <c r="D52" s="1"/>
      <c r="E52" s="1"/>
      <c r="F52" s="1"/>
      <c r="G52" s="1"/>
      <c r="H52" s="1"/>
      <c r="I52" s="1"/>
    </row>
    <row r="53" customFormat="false" ht="22.35" hidden="false" customHeight="false" outlineLevel="0" collapsed="false">
      <c r="A53" s="1"/>
      <c r="B53" s="44" t="s">
        <v>543</v>
      </c>
      <c r="C53" s="1"/>
      <c r="D53" s="1"/>
      <c r="E53" s="1"/>
      <c r="F53" s="1"/>
      <c r="G53" s="1"/>
      <c r="H53" s="1"/>
      <c r="I53" s="1"/>
    </row>
  </sheetData>
  <mergeCells count="2">
    <mergeCell ref="B6:I6"/>
    <mergeCell ref="B45:I45"/>
  </mergeCells>
  <conditionalFormatting sqref="H8">
    <cfRule type="cellIs" priority="2" operator="lessThan" aboveAverage="0" equalAverage="0" bottom="0" percent="0" rank="0" text="" dxfId="0">
      <formula>E8-0.005</formula>
    </cfRule>
  </conditionalFormatting>
  <conditionalFormatting sqref="H9">
    <cfRule type="cellIs" priority="3" operator="lessThan" aboveAverage="0" equalAverage="0" bottom="0" percent="0" rank="0" text="" dxfId="0">
      <formula>E9-0.005</formula>
    </cfRule>
  </conditionalFormatting>
  <conditionalFormatting sqref="H10">
    <cfRule type="cellIs" priority="4" operator="lessThan" aboveAverage="0" equalAverage="0" bottom="0" percent="0" rank="0" text="" dxfId="0">
      <formula>E10-0.005</formula>
    </cfRule>
  </conditionalFormatting>
  <conditionalFormatting sqref="H11">
    <cfRule type="cellIs" priority="5" operator="lessThan" aboveAverage="0" equalAverage="0" bottom="0" percent="0" rank="0" text="" dxfId="0">
      <formula>E11-0.005</formula>
    </cfRule>
  </conditionalFormatting>
  <conditionalFormatting sqref="H12">
    <cfRule type="cellIs" priority="6" operator="lessThan" aboveAverage="0" equalAverage="0" bottom="0" percent="0" rank="0" text="" dxfId="0">
      <formula>E12-0.005</formula>
    </cfRule>
  </conditionalFormatting>
  <conditionalFormatting sqref="H13">
    <cfRule type="cellIs" priority="7" operator="lessThan" aboveAverage="0" equalAverage="0" bottom="0" percent="0" rank="0" text="" dxfId="0">
      <formula>E13-0.005</formula>
    </cfRule>
  </conditionalFormatting>
  <conditionalFormatting sqref="H14">
    <cfRule type="cellIs" priority="8" operator="lessThan" aboveAverage="0" equalAverage="0" bottom="0" percent="0" rank="0" text="" dxfId="0">
      <formula>E14-0.005</formula>
    </cfRule>
  </conditionalFormatting>
  <conditionalFormatting sqref="H15">
    <cfRule type="cellIs" priority="9" operator="lessThan" aboveAverage="0" equalAverage="0" bottom="0" percent="0" rank="0" text="" dxfId="0">
      <formula>E15-0.005</formula>
    </cfRule>
  </conditionalFormatting>
  <conditionalFormatting sqref="C33">
    <cfRule type="cellIs" priority="10" operator="greaterThan" aboveAverage="0" equalAverage="0" bottom="0" percent="0" rank="0" text="" dxfId="0">
      <formula>0</formula>
    </cfRule>
  </conditionalFormatting>
  <conditionalFormatting sqref="C42">
    <cfRule type="cellIs" priority="11" operator="lessThan" aboveAverage="0" equalAverage="0" bottom="0" percent="0" rank="0" text="" dxfId="0">
      <formula>$C$37</formula>
    </cfRule>
  </conditionalFormatting>
  <conditionalFormatting sqref="E47">
    <cfRule type="cellIs" priority="12" operator="equal" aboveAverage="0" equalAverage="0" bottom="0" percent="0" rank="0" text="" dxfId="0">
      <formula>"yes"</formula>
    </cfRule>
  </conditionalFormatting>
  <conditionalFormatting sqref="E48">
    <cfRule type="cellIs" priority="13" operator="equal" aboveAverage="0" equalAverage="0" bottom="0" percent="0" rank="0" text="" dxfId="0">
      <formula>"yes"</formula>
    </cfRule>
  </conditionalFormatting>
  <conditionalFormatting sqref="E49">
    <cfRule type="cellIs" priority="14" operator="equal" aboveAverage="0" equalAverage="0" bottom="0" percent="0" rank="0" text="" dxfId="0">
      <formula>"yes"</formula>
    </cfRule>
  </conditionalFormatting>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9"/>
    <col collapsed="false" customWidth="true" hidden="false" outlineLevel="0" max="3" min="3" style="0" width="34"/>
    <col collapsed="false" customWidth="true" hidden="false" outlineLevel="0" max="5" min="4" style="0" width="9"/>
    <col collapsed="false" customWidth="true" hidden="false" outlineLevel="0" max="6" min="6" style="0" width="10"/>
    <col collapsed="false" customWidth="true" hidden="false" outlineLevel="0" max="7" min="7" style="0" width="20"/>
    <col collapsed="false" customWidth="true" hidden="false" outlineLevel="0" max="8" min="8" style="0" width="14"/>
    <col collapsed="false" customWidth="true" hidden="false" outlineLevel="0" max="9" min="9" style="0" width="60"/>
    <col collapsed="false" customWidth="true" hidden="false" outlineLevel="0" max="10" min="10" style="0" width="22"/>
    <col collapsed="false" customWidth="true" hidden="false" outlineLevel="0" max="11" min="11" style="0" width="48"/>
  </cols>
  <sheetData>
    <row r="1" customFormat="false" ht="19.7" hidden="false" customHeight="true" outlineLevel="0" collapsed="false">
      <c r="A1" s="33" t="s">
        <v>544</v>
      </c>
      <c r="B1" s="33"/>
      <c r="C1" s="33"/>
      <c r="D1" s="33"/>
      <c r="E1" s="33"/>
      <c r="F1" s="33"/>
      <c r="G1" s="1"/>
      <c r="H1" s="1"/>
      <c r="I1" s="1"/>
      <c r="J1" s="1"/>
      <c r="K1" s="1"/>
    </row>
    <row r="2" customFormat="false" ht="22.35" hidden="false" customHeight="true" outlineLevel="0" collapsed="false">
      <c r="A2" s="19" t="s">
        <v>545</v>
      </c>
      <c r="B2" s="19"/>
      <c r="C2" s="19"/>
      <c r="D2" s="19"/>
      <c r="E2" s="19"/>
      <c r="F2" s="19"/>
      <c r="G2" s="19"/>
      <c r="H2" s="19"/>
      <c r="I2" s="1"/>
      <c r="J2" s="1"/>
      <c r="K2" s="1"/>
    </row>
    <row r="3" customFormat="false" ht="15" hidden="false" customHeight="false" outlineLevel="0" collapsed="false">
      <c r="A3" s="1"/>
      <c r="B3" s="1"/>
      <c r="C3" s="1"/>
      <c r="D3" s="1"/>
      <c r="E3" s="1"/>
      <c r="F3" s="1"/>
      <c r="G3" s="1"/>
      <c r="H3" s="1"/>
      <c r="I3" s="1"/>
      <c r="J3" s="1"/>
      <c r="K3" s="1"/>
    </row>
    <row r="4" customFormat="false" ht="30" hidden="false" customHeight="true" outlineLevel="0" collapsed="false">
      <c r="A4" s="6" t="s">
        <v>546</v>
      </c>
      <c r="B4" s="6" t="s">
        <v>160</v>
      </c>
      <c r="C4" s="6" t="s">
        <v>547</v>
      </c>
      <c r="D4" s="6" t="s">
        <v>548</v>
      </c>
      <c r="E4" s="6" t="s">
        <v>549</v>
      </c>
      <c r="F4" s="6" t="s">
        <v>550</v>
      </c>
      <c r="G4" s="6" t="s">
        <v>551</v>
      </c>
      <c r="H4" s="6" t="s">
        <v>552</v>
      </c>
      <c r="I4" s="6" t="s">
        <v>553</v>
      </c>
      <c r="J4" s="6" t="s">
        <v>554</v>
      </c>
      <c r="K4" s="6" t="s">
        <v>555</v>
      </c>
    </row>
    <row r="5" customFormat="false" ht="42" hidden="false" customHeight="true" outlineLevel="0" collapsed="false">
      <c r="A5" s="24" t="str">
        <f aca="false">IF($F5=0,"",RANK($F5,$F$5:$F$62))</f>
        <v/>
      </c>
      <c r="B5" s="34" t="s">
        <v>180</v>
      </c>
      <c r="C5" s="8" t="s">
        <v>181</v>
      </c>
      <c r="D5" s="45" t="str">
        <f aca="false">'3 Capabilities'!$M5</f>
        <v/>
      </c>
      <c r="E5" s="35" t="str">
        <f aca="false">IF('3 Capabilities'!$G5="","",MAX(0,3-'3 Capabilities'!$M5))</f>
        <v/>
      </c>
      <c r="F5" s="35" t="n">
        <f aca="false">IF($E5="",0,10/100*15/100*$E5*1000)</f>
        <v>0</v>
      </c>
      <c r="G5" s="46" t="s">
        <v>556</v>
      </c>
      <c r="H5" s="47" t="s">
        <v>557</v>
      </c>
      <c r="I5" s="17" t="s">
        <v>558</v>
      </c>
      <c r="J5" s="17" t="s">
        <v>559</v>
      </c>
      <c r="K5" s="17" t="s">
        <v>560</v>
      </c>
    </row>
    <row r="6" customFormat="false" ht="42" hidden="false" customHeight="true" outlineLevel="0" collapsed="false">
      <c r="A6" s="24" t="str">
        <f aca="false">IF($F6=0,"",RANK($F6,$F$5:$F$62))</f>
        <v/>
      </c>
      <c r="B6" s="34" t="s">
        <v>184</v>
      </c>
      <c r="C6" s="8" t="s">
        <v>185</v>
      </c>
      <c r="D6" s="45" t="str">
        <f aca="false">'3 Capabilities'!$M6</f>
        <v/>
      </c>
      <c r="E6" s="35" t="str">
        <f aca="false">IF('3 Capabilities'!$G6="","",MAX(0,3-'3 Capabilities'!$M6))</f>
        <v/>
      </c>
      <c r="F6" s="35" t="n">
        <f aca="false">IF($E6="",0,10/100*15/100*$E6*1000)</f>
        <v>0</v>
      </c>
      <c r="G6" s="46" t="s">
        <v>561</v>
      </c>
      <c r="H6" s="47" t="s">
        <v>562</v>
      </c>
      <c r="I6" s="17" t="s">
        <v>563</v>
      </c>
      <c r="J6" s="17" t="s">
        <v>559</v>
      </c>
      <c r="K6" s="17" t="s">
        <v>564</v>
      </c>
    </row>
    <row r="7" customFormat="false" ht="42" hidden="false" customHeight="true" outlineLevel="0" collapsed="false">
      <c r="A7" s="24" t="str">
        <f aca="false">IF($F7=0,"",RANK($F7,$F$5:$F$62))</f>
        <v/>
      </c>
      <c r="B7" s="34" t="s">
        <v>188</v>
      </c>
      <c r="C7" s="8" t="s">
        <v>189</v>
      </c>
      <c r="D7" s="45" t="str">
        <f aca="false">'3 Capabilities'!$M7</f>
        <v/>
      </c>
      <c r="E7" s="35" t="str">
        <f aca="false">IF('3 Capabilities'!$G7="","",MAX(0,3-'3 Capabilities'!$M7))</f>
        <v/>
      </c>
      <c r="F7" s="35" t="n">
        <f aca="false">IF($E7="",0,10/100*15/100*$E7*1000)</f>
        <v>0</v>
      </c>
      <c r="G7" s="46" t="s">
        <v>561</v>
      </c>
      <c r="H7" s="47" t="s">
        <v>562</v>
      </c>
      <c r="I7" s="17" t="s">
        <v>565</v>
      </c>
      <c r="J7" s="17" t="s">
        <v>566</v>
      </c>
      <c r="K7" s="17" t="s">
        <v>567</v>
      </c>
    </row>
    <row r="8" customFormat="false" ht="42" hidden="false" customHeight="true" outlineLevel="0" collapsed="false">
      <c r="A8" s="24" t="str">
        <f aca="false">IF($F8=0,"",RANK($F8,$F$5:$F$62))</f>
        <v/>
      </c>
      <c r="B8" s="34" t="s">
        <v>192</v>
      </c>
      <c r="C8" s="8" t="s">
        <v>193</v>
      </c>
      <c r="D8" s="45" t="str">
        <f aca="false">'3 Capabilities'!$M8</f>
        <v/>
      </c>
      <c r="E8" s="35" t="str">
        <f aca="false">IF('3 Capabilities'!$G8="","",MAX(0,3-'3 Capabilities'!$M8))</f>
        <v/>
      </c>
      <c r="F8" s="35" t="n">
        <f aca="false">IF($E8="",0,10/100*15/100*$E8*1000)</f>
        <v>0</v>
      </c>
      <c r="G8" s="46" t="s">
        <v>561</v>
      </c>
      <c r="H8" s="47" t="s">
        <v>562</v>
      </c>
      <c r="I8" s="17" t="s">
        <v>568</v>
      </c>
      <c r="J8" s="17" t="s">
        <v>559</v>
      </c>
      <c r="K8" s="17" t="s">
        <v>569</v>
      </c>
    </row>
    <row r="9" customFormat="false" ht="42" hidden="false" customHeight="true" outlineLevel="0" collapsed="false">
      <c r="A9" s="24" t="str">
        <f aca="false">IF($F9=0,"",RANK($F9,$F$5:$F$62))</f>
        <v/>
      </c>
      <c r="B9" s="34" t="s">
        <v>196</v>
      </c>
      <c r="C9" s="8" t="s">
        <v>197</v>
      </c>
      <c r="D9" s="45" t="str">
        <f aca="false">'3 Capabilities'!$M9</f>
        <v/>
      </c>
      <c r="E9" s="35" t="str">
        <f aca="false">IF('3 Capabilities'!$G9="","",MAX(0,3-'3 Capabilities'!$M9))</f>
        <v/>
      </c>
      <c r="F9" s="35" t="n">
        <f aca="false">IF($E9="",0,10/100*10/100*$E9*1000)</f>
        <v>0</v>
      </c>
      <c r="G9" s="46" t="s">
        <v>556</v>
      </c>
      <c r="H9" s="47" t="s">
        <v>557</v>
      </c>
      <c r="I9" s="17" t="s">
        <v>570</v>
      </c>
      <c r="J9" s="17" t="s">
        <v>559</v>
      </c>
      <c r="K9" s="17" t="s">
        <v>571</v>
      </c>
    </row>
    <row r="10" customFormat="false" ht="42" hidden="false" customHeight="true" outlineLevel="0" collapsed="false">
      <c r="A10" s="24" t="str">
        <f aca="false">IF($F10=0,"",RANK($F10,$F$5:$F$62))</f>
        <v/>
      </c>
      <c r="B10" s="34" t="s">
        <v>200</v>
      </c>
      <c r="C10" s="8" t="s">
        <v>201</v>
      </c>
      <c r="D10" s="45" t="str">
        <f aca="false">'3 Capabilities'!$M10</f>
        <v/>
      </c>
      <c r="E10" s="35" t="str">
        <f aca="false">IF('3 Capabilities'!$G10="","",MAX(0,3-'3 Capabilities'!$M10))</f>
        <v/>
      </c>
      <c r="F10" s="35" t="n">
        <f aca="false">IF($E10="",0,10/100*15/100*$E10*1000)</f>
        <v>0</v>
      </c>
      <c r="G10" s="46" t="s">
        <v>572</v>
      </c>
      <c r="H10" s="47" t="s">
        <v>573</v>
      </c>
      <c r="I10" s="17" t="s">
        <v>574</v>
      </c>
      <c r="J10" s="17" t="s">
        <v>575</v>
      </c>
      <c r="K10" s="17" t="s">
        <v>576</v>
      </c>
    </row>
    <row r="11" customFormat="false" ht="42" hidden="false" customHeight="true" outlineLevel="0" collapsed="false">
      <c r="A11" s="24" t="str">
        <f aca="false">IF($F11=0,"",RANK($F11,$F$5:$F$62))</f>
        <v/>
      </c>
      <c r="B11" s="34" t="s">
        <v>204</v>
      </c>
      <c r="C11" s="8" t="s">
        <v>205</v>
      </c>
      <c r="D11" s="45" t="str">
        <f aca="false">'3 Capabilities'!$M11</f>
        <v/>
      </c>
      <c r="E11" s="35" t="str">
        <f aca="false">IF('3 Capabilities'!$G11="","",MAX(0,3-'3 Capabilities'!$M11))</f>
        <v/>
      </c>
      <c r="F11" s="35" t="n">
        <f aca="false">IF($E11="",0,10/100*15/100*$E11*1000)</f>
        <v>0</v>
      </c>
      <c r="G11" s="46" t="s">
        <v>556</v>
      </c>
      <c r="H11" s="47" t="s">
        <v>557</v>
      </c>
      <c r="I11" s="17" t="s">
        <v>577</v>
      </c>
      <c r="J11" s="17" t="s">
        <v>578</v>
      </c>
      <c r="K11" s="17" t="s">
        <v>579</v>
      </c>
    </row>
    <row r="12" customFormat="false" ht="42" hidden="false" customHeight="true" outlineLevel="0" collapsed="false">
      <c r="A12" s="24" t="str">
        <f aca="false">IF($F12=0,"",RANK($F12,$F$5:$F$62))</f>
        <v/>
      </c>
      <c r="B12" s="34" t="s">
        <v>209</v>
      </c>
      <c r="C12" s="8" t="s">
        <v>210</v>
      </c>
      <c r="D12" s="45" t="str">
        <f aca="false">'3 Capabilities'!$M12</f>
        <v/>
      </c>
      <c r="E12" s="35" t="str">
        <f aca="false">IF('3 Capabilities'!$G12="","",MAX(0,3-'3 Capabilities'!$M12))</f>
        <v/>
      </c>
      <c r="F12" s="35" t="n">
        <f aca="false">IF($E12="",0,12/100*25/100*$E12*1000)</f>
        <v>0</v>
      </c>
      <c r="G12" s="46" t="s">
        <v>556</v>
      </c>
      <c r="H12" s="47" t="s">
        <v>557</v>
      </c>
      <c r="I12" s="17" t="s">
        <v>580</v>
      </c>
      <c r="J12" s="17" t="s">
        <v>581</v>
      </c>
      <c r="K12" s="17" t="s">
        <v>582</v>
      </c>
    </row>
    <row r="13" customFormat="false" ht="42" hidden="false" customHeight="true" outlineLevel="0" collapsed="false">
      <c r="A13" s="24" t="str">
        <f aca="false">IF($F13=0,"",RANK($F13,$F$5:$F$62))</f>
        <v/>
      </c>
      <c r="B13" s="34" t="s">
        <v>213</v>
      </c>
      <c r="C13" s="8" t="s">
        <v>214</v>
      </c>
      <c r="D13" s="45" t="str">
        <f aca="false">'3 Capabilities'!$M13</f>
        <v/>
      </c>
      <c r="E13" s="35" t="str">
        <f aca="false">IF('3 Capabilities'!$G13="","",MAX(0,3-'3 Capabilities'!$M13))</f>
        <v/>
      </c>
      <c r="F13" s="35" t="n">
        <f aca="false">IF($E13="",0,12/100*20/100*$E13*1000)</f>
        <v>0</v>
      </c>
      <c r="G13" s="46" t="s">
        <v>561</v>
      </c>
      <c r="H13" s="47" t="s">
        <v>562</v>
      </c>
      <c r="I13" s="17" t="s">
        <v>583</v>
      </c>
      <c r="J13" s="17" t="s">
        <v>566</v>
      </c>
      <c r="K13" s="17" t="s">
        <v>584</v>
      </c>
    </row>
    <row r="14" customFormat="false" ht="42" hidden="false" customHeight="true" outlineLevel="0" collapsed="false">
      <c r="A14" s="24" t="str">
        <f aca="false">IF($F14=0,"",RANK($F14,$F$5:$F$62))</f>
        <v/>
      </c>
      <c r="B14" s="34" t="s">
        <v>217</v>
      </c>
      <c r="C14" s="8" t="s">
        <v>218</v>
      </c>
      <c r="D14" s="45" t="str">
        <f aca="false">'3 Capabilities'!$M14</f>
        <v/>
      </c>
      <c r="E14" s="35" t="str">
        <f aca="false">IF('3 Capabilities'!$G14="","",MAX(0,3-'3 Capabilities'!$M14))</f>
        <v/>
      </c>
      <c r="F14" s="35" t="n">
        <f aca="false">IF($E14="",0,12/100*15/100*$E14*1000)</f>
        <v>0</v>
      </c>
      <c r="G14" s="46" t="s">
        <v>561</v>
      </c>
      <c r="H14" s="47" t="s">
        <v>562</v>
      </c>
      <c r="I14" s="17" t="s">
        <v>585</v>
      </c>
      <c r="J14" s="17" t="s">
        <v>559</v>
      </c>
      <c r="K14" s="17" t="s">
        <v>586</v>
      </c>
    </row>
    <row r="15" customFormat="false" ht="42" hidden="false" customHeight="true" outlineLevel="0" collapsed="false">
      <c r="A15" s="24" t="str">
        <f aca="false">IF($F15=0,"",RANK($F15,$F$5:$F$62))</f>
        <v/>
      </c>
      <c r="B15" s="34" t="s">
        <v>221</v>
      </c>
      <c r="C15" s="8" t="s">
        <v>222</v>
      </c>
      <c r="D15" s="45" t="str">
        <f aca="false">'3 Capabilities'!$M15</f>
        <v/>
      </c>
      <c r="E15" s="35" t="str">
        <f aca="false">IF('3 Capabilities'!$G15="","",MAX(0,3-'3 Capabilities'!$M15))</f>
        <v/>
      </c>
      <c r="F15" s="35" t="n">
        <f aca="false">IF($E15="",0,12/100*15/100*$E15*1000)</f>
        <v>0</v>
      </c>
      <c r="G15" s="46" t="s">
        <v>561</v>
      </c>
      <c r="H15" s="47" t="s">
        <v>562</v>
      </c>
      <c r="I15" s="17" t="s">
        <v>587</v>
      </c>
      <c r="J15" s="17" t="s">
        <v>575</v>
      </c>
      <c r="K15" s="17" t="s">
        <v>588</v>
      </c>
    </row>
    <row r="16" customFormat="false" ht="42" hidden="false" customHeight="true" outlineLevel="0" collapsed="false">
      <c r="A16" s="24" t="str">
        <f aca="false">IF($F16=0,"",RANK($F16,$F$5:$F$62))</f>
        <v/>
      </c>
      <c r="B16" s="34" t="s">
        <v>225</v>
      </c>
      <c r="C16" s="8" t="s">
        <v>226</v>
      </c>
      <c r="D16" s="45" t="str">
        <f aca="false">'3 Capabilities'!$M16</f>
        <v/>
      </c>
      <c r="E16" s="35" t="str">
        <f aca="false">IF('3 Capabilities'!$G16="","",MAX(0,3-'3 Capabilities'!$M16))</f>
        <v/>
      </c>
      <c r="F16" s="35" t="n">
        <f aca="false">IF($E16="",0,12/100*15/100*$E16*1000)</f>
        <v>0</v>
      </c>
      <c r="G16" s="46" t="s">
        <v>561</v>
      </c>
      <c r="H16" s="47" t="s">
        <v>562</v>
      </c>
      <c r="I16" s="17" t="s">
        <v>589</v>
      </c>
      <c r="J16" s="17" t="s">
        <v>581</v>
      </c>
      <c r="K16" s="17" t="s">
        <v>590</v>
      </c>
    </row>
    <row r="17" customFormat="false" ht="42" hidden="false" customHeight="true" outlineLevel="0" collapsed="false">
      <c r="A17" s="24" t="str">
        <f aca="false">IF($F17=0,"",RANK($F17,$F$5:$F$62))</f>
        <v/>
      </c>
      <c r="B17" s="34" t="s">
        <v>229</v>
      </c>
      <c r="C17" s="8" t="s">
        <v>230</v>
      </c>
      <c r="D17" s="45" t="str">
        <f aca="false">'3 Capabilities'!$M17</f>
        <v/>
      </c>
      <c r="E17" s="35" t="str">
        <f aca="false">IF('3 Capabilities'!$G17="","",MAX(0,3-'3 Capabilities'!$M17))</f>
        <v/>
      </c>
      <c r="F17" s="35" t="n">
        <f aca="false">IF($E17="",0,12/100*10/100*$E17*1000)</f>
        <v>0</v>
      </c>
      <c r="G17" s="46" t="s">
        <v>561</v>
      </c>
      <c r="H17" s="47" t="s">
        <v>562</v>
      </c>
      <c r="I17" s="17" t="s">
        <v>591</v>
      </c>
      <c r="J17" s="17" t="s">
        <v>592</v>
      </c>
      <c r="K17" s="17" t="s">
        <v>593</v>
      </c>
    </row>
    <row r="18" customFormat="false" ht="42" hidden="false" customHeight="true" outlineLevel="0" collapsed="false">
      <c r="A18" s="24" t="str">
        <f aca="false">IF($F18=0,"",RANK($F18,$F$5:$F$62))</f>
        <v/>
      </c>
      <c r="B18" s="34" t="s">
        <v>234</v>
      </c>
      <c r="C18" s="8" t="s">
        <v>235</v>
      </c>
      <c r="D18" s="45" t="str">
        <f aca="false">'3 Capabilities'!$M18</f>
        <v/>
      </c>
      <c r="E18" s="35" t="str">
        <f aca="false">IF('3 Capabilities'!$G18="","",MAX(0,3-'3 Capabilities'!$M18))</f>
        <v/>
      </c>
      <c r="F18" s="35" t="n">
        <f aca="false">IF($E18="",0,16/100*15/100*$E18*1000)</f>
        <v>0</v>
      </c>
      <c r="G18" s="46" t="s">
        <v>572</v>
      </c>
      <c r="H18" s="47" t="s">
        <v>573</v>
      </c>
      <c r="I18" s="17" t="s">
        <v>594</v>
      </c>
      <c r="J18" s="17" t="s">
        <v>595</v>
      </c>
      <c r="K18" s="17" t="s">
        <v>596</v>
      </c>
    </row>
    <row r="19" customFormat="false" ht="42" hidden="false" customHeight="true" outlineLevel="0" collapsed="false">
      <c r="A19" s="24" t="str">
        <f aca="false">IF($F19=0,"",RANK($F19,$F$5:$F$62))</f>
        <v/>
      </c>
      <c r="B19" s="34" t="s">
        <v>238</v>
      </c>
      <c r="C19" s="8" t="s">
        <v>239</v>
      </c>
      <c r="D19" s="45" t="str">
        <f aca="false">'3 Capabilities'!$M19</f>
        <v/>
      </c>
      <c r="E19" s="35" t="str">
        <f aca="false">IF('3 Capabilities'!$G19="","",MAX(0,3-'3 Capabilities'!$M19))</f>
        <v/>
      </c>
      <c r="F19" s="35" t="n">
        <f aca="false">IF($E19="",0,16/100*12/100*$E19*1000)</f>
        <v>0</v>
      </c>
      <c r="G19" s="46" t="s">
        <v>556</v>
      </c>
      <c r="H19" s="47" t="s">
        <v>557</v>
      </c>
      <c r="I19" s="17" t="s">
        <v>597</v>
      </c>
      <c r="J19" s="17" t="s">
        <v>598</v>
      </c>
      <c r="K19" s="17" t="s">
        <v>599</v>
      </c>
    </row>
    <row r="20" customFormat="false" ht="42" hidden="false" customHeight="true" outlineLevel="0" collapsed="false">
      <c r="A20" s="24" t="str">
        <f aca="false">IF($F20=0,"",RANK($F20,$F$5:$F$62))</f>
        <v/>
      </c>
      <c r="B20" s="34" t="s">
        <v>242</v>
      </c>
      <c r="C20" s="8" t="s">
        <v>243</v>
      </c>
      <c r="D20" s="45" t="str">
        <f aca="false">'3 Capabilities'!$M20</f>
        <v/>
      </c>
      <c r="E20" s="35" t="str">
        <f aca="false">IF('3 Capabilities'!$G20="","",MAX(0,3-'3 Capabilities'!$M20))</f>
        <v/>
      </c>
      <c r="F20" s="35" t="n">
        <f aca="false">IF($E20="",0,16/100*12/100*$E20*1000)</f>
        <v>0</v>
      </c>
      <c r="G20" s="46" t="s">
        <v>556</v>
      </c>
      <c r="H20" s="47" t="s">
        <v>557</v>
      </c>
      <c r="I20" s="17" t="s">
        <v>600</v>
      </c>
      <c r="J20" s="17" t="s">
        <v>595</v>
      </c>
      <c r="K20" s="17" t="s">
        <v>601</v>
      </c>
    </row>
    <row r="21" customFormat="false" ht="42" hidden="false" customHeight="true" outlineLevel="0" collapsed="false">
      <c r="A21" s="24" t="str">
        <f aca="false">IF($F21=0,"",RANK($F21,$F$5:$F$62))</f>
        <v/>
      </c>
      <c r="B21" s="34" t="s">
        <v>246</v>
      </c>
      <c r="C21" s="8" t="s">
        <v>247</v>
      </c>
      <c r="D21" s="45" t="str">
        <f aca="false">'3 Capabilities'!$M21</f>
        <v/>
      </c>
      <c r="E21" s="35" t="str">
        <f aca="false">IF('3 Capabilities'!$G21="","",MAX(0,3-'3 Capabilities'!$M21))</f>
        <v/>
      </c>
      <c r="F21" s="35" t="n">
        <f aca="false">IF($E21="",0,16/100*12/100*$E21*1000)</f>
        <v>0</v>
      </c>
      <c r="G21" s="46" t="s">
        <v>572</v>
      </c>
      <c r="H21" s="47" t="s">
        <v>573</v>
      </c>
      <c r="I21" s="17" t="s">
        <v>602</v>
      </c>
      <c r="J21" s="17" t="s">
        <v>595</v>
      </c>
      <c r="K21" s="17" t="s">
        <v>603</v>
      </c>
    </row>
    <row r="22" customFormat="false" ht="42" hidden="false" customHeight="true" outlineLevel="0" collapsed="false">
      <c r="A22" s="24" t="str">
        <f aca="false">IF($F22=0,"",RANK($F22,$F$5:$F$62))</f>
        <v/>
      </c>
      <c r="B22" s="34" t="s">
        <v>250</v>
      </c>
      <c r="C22" s="8" t="s">
        <v>251</v>
      </c>
      <c r="D22" s="45" t="str">
        <f aca="false">'3 Capabilities'!$M22</f>
        <v/>
      </c>
      <c r="E22" s="35" t="str">
        <f aca="false">IF('3 Capabilities'!$G22="","",MAX(0,3-'3 Capabilities'!$M22))</f>
        <v/>
      </c>
      <c r="F22" s="35" t="n">
        <f aca="false">IF($E22="",0,16/100*8/100*$E22*1000)</f>
        <v>0</v>
      </c>
      <c r="G22" s="46" t="s">
        <v>556</v>
      </c>
      <c r="H22" s="47" t="s">
        <v>557</v>
      </c>
      <c r="I22" s="17" t="s">
        <v>604</v>
      </c>
      <c r="J22" s="17" t="s">
        <v>605</v>
      </c>
      <c r="K22" s="17" t="s">
        <v>606</v>
      </c>
    </row>
    <row r="23" customFormat="false" ht="42" hidden="false" customHeight="true" outlineLevel="0" collapsed="false">
      <c r="A23" s="24" t="str">
        <f aca="false">IF($F23=0,"",RANK($F23,$F$5:$F$62))</f>
        <v/>
      </c>
      <c r="B23" s="34" t="s">
        <v>254</v>
      </c>
      <c r="C23" s="8" t="s">
        <v>255</v>
      </c>
      <c r="D23" s="45" t="str">
        <f aca="false">'3 Capabilities'!$M23</f>
        <v/>
      </c>
      <c r="E23" s="35" t="str">
        <f aca="false">IF('3 Capabilities'!$G23="","",MAX(0,3-'3 Capabilities'!$M23))</f>
        <v/>
      </c>
      <c r="F23" s="35" t="n">
        <f aca="false">IF($E23="",0,16/100*10/100*$E23*1000)</f>
        <v>0</v>
      </c>
      <c r="G23" s="46" t="s">
        <v>561</v>
      </c>
      <c r="H23" s="47" t="s">
        <v>562</v>
      </c>
      <c r="I23" s="17" t="s">
        <v>607</v>
      </c>
      <c r="J23" s="17" t="s">
        <v>559</v>
      </c>
      <c r="K23" s="17" t="s">
        <v>608</v>
      </c>
    </row>
    <row r="24" customFormat="false" ht="42" hidden="false" customHeight="true" outlineLevel="0" collapsed="false">
      <c r="A24" s="24" t="str">
        <f aca="false">IF($F24=0,"",RANK($F24,$F$5:$F$62))</f>
        <v/>
      </c>
      <c r="B24" s="34" t="s">
        <v>258</v>
      </c>
      <c r="C24" s="8" t="s">
        <v>259</v>
      </c>
      <c r="D24" s="45" t="str">
        <f aca="false">'3 Capabilities'!$M24</f>
        <v/>
      </c>
      <c r="E24" s="35" t="str">
        <f aca="false">IF('3 Capabilities'!$G24="","",MAX(0,3-'3 Capabilities'!$M24))</f>
        <v/>
      </c>
      <c r="F24" s="35" t="n">
        <f aca="false">IF($E24="",0,16/100*8/100*$E24*1000)</f>
        <v>0</v>
      </c>
      <c r="G24" s="46" t="s">
        <v>561</v>
      </c>
      <c r="H24" s="47" t="s">
        <v>562</v>
      </c>
      <c r="I24" s="17" t="s">
        <v>609</v>
      </c>
      <c r="J24" s="17" t="s">
        <v>566</v>
      </c>
      <c r="K24" s="17" t="s">
        <v>610</v>
      </c>
    </row>
    <row r="25" customFormat="false" ht="42" hidden="false" customHeight="true" outlineLevel="0" collapsed="false">
      <c r="A25" s="24" t="str">
        <f aca="false">IF($F25=0,"",RANK($F25,$F$5:$F$62))</f>
        <v/>
      </c>
      <c r="B25" s="34" t="s">
        <v>262</v>
      </c>
      <c r="C25" s="8" t="s">
        <v>263</v>
      </c>
      <c r="D25" s="45" t="str">
        <f aca="false">'3 Capabilities'!$M25</f>
        <v/>
      </c>
      <c r="E25" s="35" t="str">
        <f aca="false">IF('3 Capabilities'!$G25="","",MAX(0,3-'3 Capabilities'!$M25))</f>
        <v/>
      </c>
      <c r="F25" s="35" t="n">
        <f aca="false">IF($E25="",0,16/100*8/100*$E25*1000)</f>
        <v>0</v>
      </c>
      <c r="G25" s="46" t="s">
        <v>556</v>
      </c>
      <c r="H25" s="47" t="s">
        <v>557</v>
      </c>
      <c r="I25" s="17" t="s">
        <v>611</v>
      </c>
      <c r="J25" s="17" t="s">
        <v>605</v>
      </c>
      <c r="K25" s="17" t="s">
        <v>612</v>
      </c>
    </row>
    <row r="26" customFormat="false" ht="42" hidden="false" customHeight="true" outlineLevel="0" collapsed="false">
      <c r="A26" s="24" t="str">
        <f aca="false">IF($F26=0,"",RANK($F26,$F$5:$F$62))</f>
        <v/>
      </c>
      <c r="B26" s="34" t="s">
        <v>266</v>
      </c>
      <c r="C26" s="8" t="s">
        <v>267</v>
      </c>
      <c r="D26" s="45" t="str">
        <f aca="false">'3 Capabilities'!$M26</f>
        <v/>
      </c>
      <c r="E26" s="35" t="str">
        <f aca="false">IF('3 Capabilities'!$G26="","",MAX(0,3-'3 Capabilities'!$M26))</f>
        <v/>
      </c>
      <c r="F26" s="35" t="n">
        <f aca="false">IF($E26="",0,16/100*8/100*$E26*1000)</f>
        <v>0</v>
      </c>
      <c r="G26" s="46" t="s">
        <v>572</v>
      </c>
      <c r="H26" s="47" t="s">
        <v>573</v>
      </c>
      <c r="I26" s="17" t="s">
        <v>613</v>
      </c>
      <c r="J26" s="17" t="s">
        <v>595</v>
      </c>
      <c r="K26" s="17" t="s">
        <v>614</v>
      </c>
    </row>
    <row r="27" customFormat="false" ht="42" hidden="false" customHeight="true" outlineLevel="0" collapsed="false">
      <c r="A27" s="24" t="str">
        <f aca="false">IF($F27=0,"",RANK($F27,$F$5:$F$62))</f>
        <v/>
      </c>
      <c r="B27" s="34" t="s">
        <v>270</v>
      </c>
      <c r="C27" s="8" t="s">
        <v>271</v>
      </c>
      <c r="D27" s="45" t="str">
        <f aca="false">'3 Capabilities'!$M27</f>
        <v/>
      </c>
      <c r="E27" s="35" t="str">
        <f aca="false">IF('3 Capabilities'!$G27="","",MAX(0,3-'3 Capabilities'!$M27))</f>
        <v/>
      </c>
      <c r="F27" s="35" t="n">
        <f aca="false">IF($E27="",0,16/100*7/100*$E27*1000)</f>
        <v>0</v>
      </c>
      <c r="G27" s="46" t="s">
        <v>556</v>
      </c>
      <c r="H27" s="47" t="s">
        <v>557</v>
      </c>
      <c r="I27" s="17" t="s">
        <v>615</v>
      </c>
      <c r="J27" s="17" t="s">
        <v>595</v>
      </c>
      <c r="K27" s="17" t="s">
        <v>616</v>
      </c>
    </row>
    <row r="28" customFormat="false" ht="42" hidden="false" customHeight="true" outlineLevel="0" collapsed="false">
      <c r="A28" s="24" t="str">
        <f aca="false">IF($F28=0,"",RANK($F28,$F$5:$F$62))</f>
        <v/>
      </c>
      <c r="B28" s="34" t="s">
        <v>275</v>
      </c>
      <c r="C28" s="8" t="s">
        <v>276</v>
      </c>
      <c r="D28" s="45" t="str">
        <f aca="false">'3 Capabilities'!$M28</f>
        <v/>
      </c>
      <c r="E28" s="35" t="str">
        <f aca="false">IF('3 Capabilities'!$G28="","",MAX(0,3-'3 Capabilities'!$M28))</f>
        <v/>
      </c>
      <c r="F28" s="35" t="n">
        <f aca="false">IF($E28="",0,14/100*16/100*$E28*1000)</f>
        <v>0</v>
      </c>
      <c r="G28" s="46" t="s">
        <v>556</v>
      </c>
      <c r="H28" s="47" t="s">
        <v>557</v>
      </c>
      <c r="I28" s="17" t="s">
        <v>617</v>
      </c>
      <c r="J28" s="17" t="s">
        <v>559</v>
      </c>
      <c r="K28" s="17" t="s">
        <v>618</v>
      </c>
    </row>
    <row r="29" customFormat="false" ht="42" hidden="false" customHeight="true" outlineLevel="0" collapsed="false">
      <c r="A29" s="24" t="str">
        <f aca="false">IF($F29=0,"",RANK($F29,$F$5:$F$62))</f>
        <v/>
      </c>
      <c r="B29" s="34" t="s">
        <v>279</v>
      </c>
      <c r="C29" s="8" t="s">
        <v>280</v>
      </c>
      <c r="D29" s="45" t="str">
        <f aca="false">'3 Capabilities'!$M29</f>
        <v/>
      </c>
      <c r="E29" s="35" t="str">
        <f aca="false">IF('3 Capabilities'!$G29="","",MAX(0,3-'3 Capabilities'!$M29))</f>
        <v/>
      </c>
      <c r="F29" s="35" t="n">
        <f aca="false">IF($E29="",0,14/100*14/100*$E29*1000)</f>
        <v>0</v>
      </c>
      <c r="G29" s="46" t="s">
        <v>556</v>
      </c>
      <c r="H29" s="47" t="s">
        <v>557</v>
      </c>
      <c r="I29" s="17" t="s">
        <v>619</v>
      </c>
      <c r="J29" s="17" t="s">
        <v>605</v>
      </c>
      <c r="K29" s="17" t="s">
        <v>620</v>
      </c>
    </row>
    <row r="30" customFormat="false" ht="42" hidden="false" customHeight="true" outlineLevel="0" collapsed="false">
      <c r="A30" s="24" t="str">
        <f aca="false">IF($F30=0,"",RANK($F30,$F$5:$F$62))</f>
        <v/>
      </c>
      <c r="B30" s="34" t="s">
        <v>283</v>
      </c>
      <c r="C30" s="8" t="s">
        <v>284</v>
      </c>
      <c r="D30" s="45" t="str">
        <f aca="false">'3 Capabilities'!$M30</f>
        <v/>
      </c>
      <c r="E30" s="35" t="str">
        <f aca="false">IF('3 Capabilities'!$G30="","",MAX(0,3-'3 Capabilities'!$M30))</f>
        <v/>
      </c>
      <c r="F30" s="35" t="n">
        <f aca="false">IF($E30="",0,14/100*14/100*$E30*1000)</f>
        <v>0</v>
      </c>
      <c r="G30" s="46" t="s">
        <v>556</v>
      </c>
      <c r="H30" s="47" t="s">
        <v>557</v>
      </c>
      <c r="I30" s="17" t="s">
        <v>621</v>
      </c>
      <c r="J30" s="17" t="s">
        <v>622</v>
      </c>
      <c r="K30" s="17" t="s">
        <v>623</v>
      </c>
    </row>
    <row r="31" customFormat="false" ht="42" hidden="false" customHeight="true" outlineLevel="0" collapsed="false">
      <c r="A31" s="24" t="str">
        <f aca="false">IF($F31=0,"",RANK($F31,$F$5:$F$62))</f>
        <v/>
      </c>
      <c r="B31" s="34" t="s">
        <v>287</v>
      </c>
      <c r="C31" s="8" t="s">
        <v>288</v>
      </c>
      <c r="D31" s="45" t="str">
        <f aca="false">'3 Capabilities'!$M31</f>
        <v/>
      </c>
      <c r="E31" s="35" t="str">
        <f aca="false">IF('3 Capabilities'!$G31="","",MAX(0,3-'3 Capabilities'!$M31))</f>
        <v/>
      </c>
      <c r="F31" s="35" t="n">
        <f aca="false">IF($E31="",0,14/100*10/100*$E31*1000)</f>
        <v>0</v>
      </c>
      <c r="G31" s="46" t="s">
        <v>561</v>
      </c>
      <c r="H31" s="47" t="s">
        <v>562</v>
      </c>
      <c r="I31" s="17" t="s">
        <v>624</v>
      </c>
      <c r="J31" s="17" t="s">
        <v>625</v>
      </c>
      <c r="K31" s="17" t="s">
        <v>626</v>
      </c>
    </row>
    <row r="32" customFormat="false" ht="42" hidden="false" customHeight="true" outlineLevel="0" collapsed="false">
      <c r="A32" s="24" t="str">
        <f aca="false">IF($F32=0,"",RANK($F32,$F$5:$F$62))</f>
        <v/>
      </c>
      <c r="B32" s="34" t="s">
        <v>291</v>
      </c>
      <c r="C32" s="8" t="s">
        <v>292</v>
      </c>
      <c r="D32" s="45" t="str">
        <f aca="false">'3 Capabilities'!$M32</f>
        <v/>
      </c>
      <c r="E32" s="35" t="str">
        <f aca="false">IF('3 Capabilities'!$G32="","",MAX(0,3-'3 Capabilities'!$M32))</f>
        <v/>
      </c>
      <c r="F32" s="35" t="n">
        <f aca="false">IF($E32="",0,14/100*14/100*$E32*1000)</f>
        <v>0</v>
      </c>
      <c r="G32" s="46" t="s">
        <v>556</v>
      </c>
      <c r="H32" s="47" t="s">
        <v>557</v>
      </c>
      <c r="I32" s="17" t="s">
        <v>627</v>
      </c>
      <c r="J32" s="17" t="s">
        <v>559</v>
      </c>
      <c r="K32" s="17" t="s">
        <v>628</v>
      </c>
    </row>
    <row r="33" customFormat="false" ht="42" hidden="false" customHeight="true" outlineLevel="0" collapsed="false">
      <c r="A33" s="24" t="str">
        <f aca="false">IF($F33=0,"",RANK($F33,$F$5:$F$62))</f>
        <v/>
      </c>
      <c r="B33" s="34" t="s">
        <v>295</v>
      </c>
      <c r="C33" s="8" t="s">
        <v>296</v>
      </c>
      <c r="D33" s="45" t="str">
        <f aca="false">'3 Capabilities'!$M33</f>
        <v/>
      </c>
      <c r="E33" s="35" t="str">
        <f aca="false">IF('3 Capabilities'!$G33="","",MAX(0,3-'3 Capabilities'!$M33))</f>
        <v/>
      </c>
      <c r="F33" s="35" t="n">
        <f aca="false">IF($E33="",0,14/100*12/100*$E33*1000)</f>
        <v>0</v>
      </c>
      <c r="G33" s="46" t="s">
        <v>572</v>
      </c>
      <c r="H33" s="47" t="s">
        <v>573</v>
      </c>
      <c r="I33" s="17" t="s">
        <v>629</v>
      </c>
      <c r="J33" s="17" t="s">
        <v>581</v>
      </c>
      <c r="K33" s="17" t="s">
        <v>630</v>
      </c>
    </row>
    <row r="34" customFormat="false" ht="42" hidden="false" customHeight="true" outlineLevel="0" collapsed="false">
      <c r="A34" s="24" t="str">
        <f aca="false">IF($F34=0,"",RANK($F34,$F$5:$F$62))</f>
        <v/>
      </c>
      <c r="B34" s="34" t="s">
        <v>299</v>
      </c>
      <c r="C34" s="8" t="s">
        <v>300</v>
      </c>
      <c r="D34" s="45" t="str">
        <f aca="false">'3 Capabilities'!$M34</f>
        <v/>
      </c>
      <c r="E34" s="35" t="str">
        <f aca="false">IF('3 Capabilities'!$G34="","",MAX(0,3-'3 Capabilities'!$M34))</f>
        <v/>
      </c>
      <c r="F34" s="35" t="n">
        <f aca="false">IF($E34="",0,14/100*10/100*$E34*1000)</f>
        <v>0</v>
      </c>
      <c r="G34" s="46" t="s">
        <v>572</v>
      </c>
      <c r="H34" s="47" t="s">
        <v>573</v>
      </c>
      <c r="I34" s="17" t="s">
        <v>631</v>
      </c>
      <c r="J34" s="17" t="s">
        <v>632</v>
      </c>
      <c r="K34" s="17" t="s">
        <v>633</v>
      </c>
    </row>
    <row r="35" customFormat="false" ht="42" hidden="false" customHeight="true" outlineLevel="0" collapsed="false">
      <c r="A35" s="24" t="str">
        <f aca="false">IF($F35=0,"",RANK($F35,$F$5:$F$62))</f>
        <v/>
      </c>
      <c r="B35" s="34" t="s">
        <v>303</v>
      </c>
      <c r="C35" s="8" t="s">
        <v>304</v>
      </c>
      <c r="D35" s="45" t="str">
        <f aca="false">'3 Capabilities'!$M35</f>
        <v/>
      </c>
      <c r="E35" s="35" t="str">
        <f aca="false">IF('3 Capabilities'!$G35="","",MAX(0,3-'3 Capabilities'!$M35))</f>
        <v/>
      </c>
      <c r="F35" s="35" t="n">
        <f aca="false">IF($E35="",0,14/100*10/100*$E35*1000)</f>
        <v>0</v>
      </c>
      <c r="G35" s="46" t="s">
        <v>572</v>
      </c>
      <c r="H35" s="47" t="s">
        <v>573</v>
      </c>
      <c r="I35" s="17" t="s">
        <v>634</v>
      </c>
      <c r="J35" s="17" t="s">
        <v>581</v>
      </c>
      <c r="K35" s="17" t="s">
        <v>635</v>
      </c>
    </row>
    <row r="36" customFormat="false" ht="42" hidden="false" customHeight="true" outlineLevel="0" collapsed="false">
      <c r="A36" s="24" t="str">
        <f aca="false">IF($F36=0,"",RANK($F36,$F$5:$F$62))</f>
        <v/>
      </c>
      <c r="B36" s="34" t="s">
        <v>308</v>
      </c>
      <c r="C36" s="8" t="s">
        <v>309</v>
      </c>
      <c r="D36" s="45" t="str">
        <f aca="false">'3 Capabilities'!$M36</f>
        <v/>
      </c>
      <c r="E36" s="35" t="str">
        <f aca="false">IF('3 Capabilities'!$G36="","",MAX(0,3-'3 Capabilities'!$M36))</f>
        <v/>
      </c>
      <c r="F36" s="35" t="n">
        <f aca="false">IF($E36="",0,12/100*14/100*$E36*1000)</f>
        <v>0</v>
      </c>
      <c r="G36" s="46" t="s">
        <v>556</v>
      </c>
      <c r="H36" s="47" t="s">
        <v>557</v>
      </c>
      <c r="I36" s="17" t="s">
        <v>636</v>
      </c>
      <c r="J36" s="17" t="s">
        <v>637</v>
      </c>
      <c r="K36" s="17" t="s">
        <v>638</v>
      </c>
    </row>
    <row r="37" customFormat="false" ht="42" hidden="false" customHeight="true" outlineLevel="0" collapsed="false">
      <c r="A37" s="24" t="str">
        <f aca="false">IF($F37=0,"",RANK($F37,$F$5:$F$62))</f>
        <v/>
      </c>
      <c r="B37" s="34" t="s">
        <v>312</v>
      </c>
      <c r="C37" s="8" t="s">
        <v>313</v>
      </c>
      <c r="D37" s="45" t="str">
        <f aca="false">'3 Capabilities'!$M37</f>
        <v/>
      </c>
      <c r="E37" s="35" t="str">
        <f aca="false">IF('3 Capabilities'!$G37="","",MAX(0,3-'3 Capabilities'!$M37))</f>
        <v/>
      </c>
      <c r="F37" s="35" t="n">
        <f aca="false">IF($E37="",0,12/100*20/100*$E37*1000)</f>
        <v>0</v>
      </c>
      <c r="G37" s="46" t="s">
        <v>572</v>
      </c>
      <c r="H37" s="47" t="s">
        <v>573</v>
      </c>
      <c r="I37" s="17" t="s">
        <v>639</v>
      </c>
      <c r="J37" s="17" t="s">
        <v>595</v>
      </c>
      <c r="K37" s="17" t="s">
        <v>640</v>
      </c>
    </row>
    <row r="38" customFormat="false" ht="42" hidden="false" customHeight="true" outlineLevel="0" collapsed="false">
      <c r="A38" s="24" t="str">
        <f aca="false">IF($F38=0,"",RANK($F38,$F$5:$F$62))</f>
        <v/>
      </c>
      <c r="B38" s="34" t="s">
        <v>316</v>
      </c>
      <c r="C38" s="8" t="s">
        <v>317</v>
      </c>
      <c r="D38" s="45" t="str">
        <f aca="false">'3 Capabilities'!$M38</f>
        <v/>
      </c>
      <c r="E38" s="35" t="str">
        <f aca="false">IF('3 Capabilities'!$G38="","",MAX(0,3-'3 Capabilities'!$M38))</f>
        <v/>
      </c>
      <c r="F38" s="35" t="n">
        <f aca="false">IF($E38="",0,12/100*14/100*$E38*1000)</f>
        <v>0</v>
      </c>
      <c r="G38" s="46" t="s">
        <v>561</v>
      </c>
      <c r="H38" s="47" t="s">
        <v>562</v>
      </c>
      <c r="I38" s="17" t="s">
        <v>641</v>
      </c>
      <c r="J38" s="17" t="s">
        <v>559</v>
      </c>
      <c r="K38" s="17" t="s">
        <v>642</v>
      </c>
    </row>
    <row r="39" customFormat="false" ht="42" hidden="false" customHeight="true" outlineLevel="0" collapsed="false">
      <c r="A39" s="24" t="str">
        <f aca="false">IF($F39=0,"",RANK($F39,$F$5:$F$62))</f>
        <v/>
      </c>
      <c r="B39" s="34" t="s">
        <v>320</v>
      </c>
      <c r="C39" s="8" t="s">
        <v>321</v>
      </c>
      <c r="D39" s="45" t="str">
        <f aca="false">'3 Capabilities'!$M39</f>
        <v/>
      </c>
      <c r="E39" s="35" t="str">
        <f aca="false">IF('3 Capabilities'!$G39="","",MAX(0,3-'3 Capabilities'!$M39))</f>
        <v/>
      </c>
      <c r="F39" s="35" t="n">
        <f aca="false">IF($E39="",0,12/100*14/100*$E39*1000)</f>
        <v>0</v>
      </c>
      <c r="G39" s="46" t="s">
        <v>572</v>
      </c>
      <c r="H39" s="47" t="s">
        <v>573</v>
      </c>
      <c r="I39" s="17" t="s">
        <v>643</v>
      </c>
      <c r="J39" s="17" t="s">
        <v>595</v>
      </c>
      <c r="K39" s="17" t="s">
        <v>644</v>
      </c>
    </row>
    <row r="40" customFormat="false" ht="42" hidden="false" customHeight="true" outlineLevel="0" collapsed="false">
      <c r="A40" s="24" t="str">
        <f aca="false">IF($F40=0,"",RANK($F40,$F$5:$F$62))</f>
        <v/>
      </c>
      <c r="B40" s="34" t="s">
        <v>324</v>
      </c>
      <c r="C40" s="8" t="s">
        <v>325</v>
      </c>
      <c r="D40" s="45" t="str">
        <f aca="false">'3 Capabilities'!$M40</f>
        <v/>
      </c>
      <c r="E40" s="35" t="str">
        <f aca="false">IF('3 Capabilities'!$G40="","",MAX(0,3-'3 Capabilities'!$M40))</f>
        <v/>
      </c>
      <c r="F40" s="35" t="n">
        <f aca="false">IF($E40="",0,12/100*14/100*$E40*1000)</f>
        <v>0</v>
      </c>
      <c r="G40" s="46" t="s">
        <v>556</v>
      </c>
      <c r="H40" s="47" t="s">
        <v>557</v>
      </c>
      <c r="I40" s="17" t="s">
        <v>645</v>
      </c>
      <c r="J40" s="17" t="s">
        <v>605</v>
      </c>
      <c r="K40" s="17" t="s">
        <v>646</v>
      </c>
    </row>
    <row r="41" customFormat="false" ht="42" hidden="false" customHeight="true" outlineLevel="0" collapsed="false">
      <c r="A41" s="24" t="str">
        <f aca="false">IF($F41=0,"",RANK($F41,$F$5:$F$62))</f>
        <v/>
      </c>
      <c r="B41" s="34" t="s">
        <v>328</v>
      </c>
      <c r="C41" s="8" t="s">
        <v>329</v>
      </c>
      <c r="D41" s="45" t="str">
        <f aca="false">'3 Capabilities'!$M41</f>
        <v/>
      </c>
      <c r="E41" s="35" t="str">
        <f aca="false">IF('3 Capabilities'!$G41="","",MAX(0,3-'3 Capabilities'!$M41))</f>
        <v/>
      </c>
      <c r="F41" s="35" t="n">
        <f aca="false">IF($E41="",0,12/100*14/100*$E41*1000)</f>
        <v>0</v>
      </c>
      <c r="G41" s="46" t="s">
        <v>556</v>
      </c>
      <c r="H41" s="47" t="s">
        <v>557</v>
      </c>
      <c r="I41" s="17" t="s">
        <v>647</v>
      </c>
      <c r="J41" s="17" t="s">
        <v>566</v>
      </c>
      <c r="K41" s="17" t="s">
        <v>648</v>
      </c>
    </row>
    <row r="42" customFormat="false" ht="42" hidden="false" customHeight="true" outlineLevel="0" collapsed="false">
      <c r="A42" s="24" t="str">
        <f aca="false">IF($F42=0,"",RANK($F42,$F$5:$F$62))</f>
        <v/>
      </c>
      <c r="B42" s="34" t="s">
        <v>332</v>
      </c>
      <c r="C42" s="8" t="s">
        <v>333</v>
      </c>
      <c r="D42" s="45" t="str">
        <f aca="false">'3 Capabilities'!$M42</f>
        <v/>
      </c>
      <c r="E42" s="35" t="str">
        <f aca="false">IF('3 Capabilities'!$G42="","",MAX(0,3-'3 Capabilities'!$M42))</f>
        <v/>
      </c>
      <c r="F42" s="35" t="n">
        <f aca="false">IF($E42="",0,12/100*10/100*$E42*1000)</f>
        <v>0</v>
      </c>
      <c r="G42" s="46" t="s">
        <v>561</v>
      </c>
      <c r="H42" s="47" t="s">
        <v>562</v>
      </c>
      <c r="I42" s="17" t="s">
        <v>649</v>
      </c>
      <c r="J42" s="17" t="s">
        <v>595</v>
      </c>
      <c r="K42" s="17" t="s">
        <v>650</v>
      </c>
    </row>
    <row r="43" customFormat="false" ht="42" hidden="false" customHeight="true" outlineLevel="0" collapsed="false">
      <c r="A43" s="24" t="str">
        <f aca="false">IF($F43=0,"",RANK($F43,$F$5:$F$62))</f>
        <v/>
      </c>
      <c r="B43" s="34" t="s">
        <v>337</v>
      </c>
      <c r="C43" s="8" t="s">
        <v>338</v>
      </c>
      <c r="D43" s="45" t="str">
        <f aca="false">'3 Capabilities'!$M43</f>
        <v/>
      </c>
      <c r="E43" s="35" t="str">
        <f aca="false">IF('3 Capabilities'!$G43="","",MAX(0,3-'3 Capabilities'!$M43))</f>
        <v/>
      </c>
      <c r="F43" s="35" t="n">
        <f aca="false">IF($E43="",0,10/100*22/100*$E43*1000)</f>
        <v>0</v>
      </c>
      <c r="G43" s="46" t="s">
        <v>561</v>
      </c>
      <c r="H43" s="47" t="s">
        <v>562</v>
      </c>
      <c r="I43" s="17" t="s">
        <v>651</v>
      </c>
      <c r="J43" s="17" t="s">
        <v>559</v>
      </c>
      <c r="K43" s="17" t="s">
        <v>652</v>
      </c>
    </row>
    <row r="44" customFormat="false" ht="42" hidden="false" customHeight="true" outlineLevel="0" collapsed="false">
      <c r="A44" s="24" t="str">
        <f aca="false">IF($F44=0,"",RANK($F44,$F$5:$F$62))</f>
        <v/>
      </c>
      <c r="B44" s="34" t="s">
        <v>341</v>
      </c>
      <c r="C44" s="8" t="s">
        <v>342</v>
      </c>
      <c r="D44" s="45" t="str">
        <f aca="false">'3 Capabilities'!$M44</f>
        <v/>
      </c>
      <c r="E44" s="35" t="str">
        <f aca="false">IF('3 Capabilities'!$G44="","",MAX(0,3-'3 Capabilities'!$M44))</f>
        <v/>
      </c>
      <c r="F44" s="35" t="n">
        <f aca="false">IF($E44="",0,10/100*18/100*$E44*1000)</f>
        <v>0</v>
      </c>
      <c r="G44" s="46" t="s">
        <v>556</v>
      </c>
      <c r="H44" s="47" t="s">
        <v>557</v>
      </c>
      <c r="I44" s="17" t="s">
        <v>653</v>
      </c>
      <c r="J44" s="17" t="s">
        <v>654</v>
      </c>
      <c r="K44" s="17" t="s">
        <v>655</v>
      </c>
    </row>
    <row r="45" customFormat="false" ht="42" hidden="false" customHeight="true" outlineLevel="0" collapsed="false">
      <c r="A45" s="24" t="str">
        <f aca="false">IF($F45=0,"",RANK($F45,$F$5:$F$62))</f>
        <v/>
      </c>
      <c r="B45" s="34" t="s">
        <v>345</v>
      </c>
      <c r="C45" s="8" t="s">
        <v>346</v>
      </c>
      <c r="D45" s="45" t="str">
        <f aca="false">'3 Capabilities'!$M45</f>
        <v/>
      </c>
      <c r="E45" s="35" t="str">
        <f aca="false">IF('3 Capabilities'!$G45="","",MAX(0,3-'3 Capabilities'!$M45))</f>
        <v/>
      </c>
      <c r="F45" s="35" t="n">
        <f aca="false">IF($E45="",0,10/100*15/100*$E45*1000)</f>
        <v>0</v>
      </c>
      <c r="G45" s="46" t="s">
        <v>561</v>
      </c>
      <c r="H45" s="47" t="s">
        <v>562</v>
      </c>
      <c r="I45" s="17" t="s">
        <v>656</v>
      </c>
      <c r="J45" s="17" t="s">
        <v>578</v>
      </c>
      <c r="K45" s="17" t="s">
        <v>657</v>
      </c>
    </row>
    <row r="46" customFormat="false" ht="42" hidden="false" customHeight="true" outlineLevel="0" collapsed="false">
      <c r="A46" s="24" t="str">
        <f aca="false">IF($F46=0,"",RANK($F46,$F$5:$F$62))</f>
        <v/>
      </c>
      <c r="B46" s="34" t="s">
        <v>349</v>
      </c>
      <c r="C46" s="8" t="s">
        <v>350</v>
      </c>
      <c r="D46" s="45" t="str">
        <f aca="false">'3 Capabilities'!$M46</f>
        <v/>
      </c>
      <c r="E46" s="35" t="str">
        <f aca="false">IF('3 Capabilities'!$G46="","",MAX(0,3-'3 Capabilities'!$M46))</f>
        <v/>
      </c>
      <c r="F46" s="35" t="n">
        <f aca="false">IF($E46="",0,10/100*15/100*$E46*1000)</f>
        <v>0</v>
      </c>
      <c r="G46" s="46" t="s">
        <v>556</v>
      </c>
      <c r="H46" s="47" t="s">
        <v>557</v>
      </c>
      <c r="I46" s="17" t="s">
        <v>658</v>
      </c>
      <c r="J46" s="17" t="s">
        <v>654</v>
      </c>
      <c r="K46" s="17" t="s">
        <v>659</v>
      </c>
    </row>
    <row r="47" customFormat="false" ht="42" hidden="false" customHeight="true" outlineLevel="0" collapsed="false">
      <c r="A47" s="24" t="str">
        <f aca="false">IF($F47=0,"",RANK($F47,$F$5:$F$62))</f>
        <v/>
      </c>
      <c r="B47" s="34" t="s">
        <v>353</v>
      </c>
      <c r="C47" s="8" t="s">
        <v>354</v>
      </c>
      <c r="D47" s="45" t="str">
        <f aca="false">'3 Capabilities'!$M47</f>
        <v/>
      </c>
      <c r="E47" s="35" t="str">
        <f aca="false">IF('3 Capabilities'!$G47="","",MAX(0,3-'3 Capabilities'!$M47))</f>
        <v/>
      </c>
      <c r="F47" s="35" t="n">
        <f aca="false">IF($E47="",0,10/100*15/100*$E47*1000)</f>
        <v>0</v>
      </c>
      <c r="G47" s="46" t="s">
        <v>572</v>
      </c>
      <c r="H47" s="47" t="s">
        <v>573</v>
      </c>
      <c r="I47" s="17" t="s">
        <v>660</v>
      </c>
      <c r="J47" s="17" t="s">
        <v>632</v>
      </c>
      <c r="K47" s="17" t="s">
        <v>661</v>
      </c>
    </row>
    <row r="48" customFormat="false" ht="42" hidden="false" customHeight="true" outlineLevel="0" collapsed="false">
      <c r="A48" s="24" t="str">
        <f aca="false">IF($F48=0,"",RANK($F48,$F$5:$F$62))</f>
        <v/>
      </c>
      <c r="B48" s="34" t="s">
        <v>357</v>
      </c>
      <c r="C48" s="8" t="s">
        <v>358</v>
      </c>
      <c r="D48" s="45" t="str">
        <f aca="false">'3 Capabilities'!$M48</f>
        <v/>
      </c>
      <c r="E48" s="35" t="str">
        <f aca="false">IF('3 Capabilities'!$G48="","",MAX(0,3-'3 Capabilities'!$M48))</f>
        <v/>
      </c>
      <c r="F48" s="35" t="n">
        <f aca="false">IF($E48="",0,10/100*15/100*$E48*1000)</f>
        <v>0</v>
      </c>
      <c r="G48" s="46" t="s">
        <v>572</v>
      </c>
      <c r="H48" s="47" t="s">
        <v>573</v>
      </c>
      <c r="I48" s="17" t="s">
        <v>662</v>
      </c>
      <c r="J48" s="17" t="s">
        <v>575</v>
      </c>
      <c r="K48" s="17" t="s">
        <v>663</v>
      </c>
    </row>
    <row r="49" customFormat="false" ht="42" hidden="false" customHeight="true" outlineLevel="0" collapsed="false">
      <c r="A49" s="24" t="str">
        <f aca="false">IF($F49=0,"",RANK($F49,$F$5:$F$62))</f>
        <v/>
      </c>
      <c r="B49" s="34" t="s">
        <v>362</v>
      </c>
      <c r="C49" s="8" t="s">
        <v>363</v>
      </c>
      <c r="D49" s="45" t="str">
        <f aca="false">'3 Capabilities'!$M49</f>
        <v/>
      </c>
      <c r="E49" s="35" t="str">
        <f aca="false">IF('3 Capabilities'!$G49="","",MAX(0,3-'3 Capabilities'!$M49))</f>
        <v/>
      </c>
      <c r="F49" s="35" t="n">
        <f aca="false">IF($E49="",0,14/100*12/100*$E49*1000)</f>
        <v>0</v>
      </c>
      <c r="G49" s="46" t="s">
        <v>561</v>
      </c>
      <c r="H49" s="47" t="s">
        <v>562</v>
      </c>
      <c r="I49" s="17" t="s">
        <v>664</v>
      </c>
      <c r="J49" s="17" t="s">
        <v>559</v>
      </c>
      <c r="K49" s="17" t="s">
        <v>665</v>
      </c>
    </row>
    <row r="50" customFormat="false" ht="42" hidden="false" customHeight="true" outlineLevel="0" collapsed="false">
      <c r="A50" s="24" t="str">
        <f aca="false">IF($F50=0,"",RANK($F50,$F$5:$F$62))</f>
        <v/>
      </c>
      <c r="B50" s="34" t="s">
        <v>366</v>
      </c>
      <c r="C50" s="8" t="s">
        <v>367</v>
      </c>
      <c r="D50" s="45" t="str">
        <f aca="false">'3 Capabilities'!$M50</f>
        <v/>
      </c>
      <c r="E50" s="35" t="str">
        <f aca="false">IF('3 Capabilities'!$G50="","",MAX(0,3-'3 Capabilities'!$M50))</f>
        <v/>
      </c>
      <c r="F50" s="35" t="n">
        <f aca="false">IF($E50="",0,14/100*22/100*$E50*1000)</f>
        <v>0</v>
      </c>
      <c r="G50" s="46" t="s">
        <v>572</v>
      </c>
      <c r="H50" s="47" t="s">
        <v>573</v>
      </c>
      <c r="I50" s="17" t="s">
        <v>666</v>
      </c>
      <c r="J50" s="17" t="s">
        <v>595</v>
      </c>
      <c r="K50" s="17" t="s">
        <v>667</v>
      </c>
    </row>
    <row r="51" customFormat="false" ht="42" hidden="false" customHeight="true" outlineLevel="0" collapsed="false">
      <c r="A51" s="24" t="str">
        <f aca="false">IF($F51=0,"",RANK($F51,$F$5:$F$62))</f>
        <v/>
      </c>
      <c r="B51" s="34" t="s">
        <v>370</v>
      </c>
      <c r="C51" s="8" t="s">
        <v>371</v>
      </c>
      <c r="D51" s="45" t="str">
        <f aca="false">'3 Capabilities'!$M51</f>
        <v/>
      </c>
      <c r="E51" s="35" t="str">
        <f aca="false">IF('3 Capabilities'!$G51="","",MAX(0,3-'3 Capabilities'!$M51))</f>
        <v/>
      </c>
      <c r="F51" s="35" t="n">
        <f aca="false">IF($E51="",0,14/100*18/100*$E51*1000)</f>
        <v>0</v>
      </c>
      <c r="G51" s="46" t="s">
        <v>572</v>
      </c>
      <c r="H51" s="47" t="s">
        <v>573</v>
      </c>
      <c r="I51" s="17" t="s">
        <v>668</v>
      </c>
      <c r="J51" s="17" t="s">
        <v>669</v>
      </c>
      <c r="K51" s="17" t="s">
        <v>670</v>
      </c>
    </row>
    <row r="52" customFormat="false" ht="42" hidden="false" customHeight="true" outlineLevel="0" collapsed="false">
      <c r="A52" s="24" t="str">
        <f aca="false">IF($F52=0,"",RANK($F52,$F$5:$F$62))</f>
        <v/>
      </c>
      <c r="B52" s="34" t="s">
        <v>374</v>
      </c>
      <c r="C52" s="8" t="s">
        <v>375</v>
      </c>
      <c r="D52" s="45" t="str">
        <f aca="false">'3 Capabilities'!$M52</f>
        <v/>
      </c>
      <c r="E52" s="35" t="str">
        <f aca="false">IF('3 Capabilities'!$G52="","",MAX(0,3-'3 Capabilities'!$M52))</f>
        <v/>
      </c>
      <c r="F52" s="35" t="n">
        <f aca="false">IF($E52="",0,14/100*16/100*$E52*1000)</f>
        <v>0</v>
      </c>
      <c r="G52" s="46" t="s">
        <v>561</v>
      </c>
      <c r="H52" s="47" t="s">
        <v>562</v>
      </c>
      <c r="I52" s="17" t="s">
        <v>671</v>
      </c>
      <c r="J52" s="17" t="s">
        <v>672</v>
      </c>
      <c r="K52" s="17" t="s">
        <v>673</v>
      </c>
    </row>
    <row r="53" customFormat="false" ht="42" hidden="false" customHeight="true" outlineLevel="0" collapsed="false">
      <c r="A53" s="24" t="str">
        <f aca="false">IF($F53=0,"",RANK($F53,$F$5:$F$62))</f>
        <v/>
      </c>
      <c r="B53" s="34" t="s">
        <v>378</v>
      </c>
      <c r="C53" s="8" t="s">
        <v>379</v>
      </c>
      <c r="D53" s="45" t="str">
        <f aca="false">'3 Capabilities'!$M53</f>
        <v/>
      </c>
      <c r="E53" s="35" t="str">
        <f aca="false">IF('3 Capabilities'!$G53="","",MAX(0,3-'3 Capabilities'!$M53))</f>
        <v/>
      </c>
      <c r="F53" s="35" t="n">
        <f aca="false">IF($E53="",0,14/100*12/100*$E53*1000)</f>
        <v>0</v>
      </c>
      <c r="G53" s="46" t="s">
        <v>556</v>
      </c>
      <c r="H53" s="47" t="s">
        <v>557</v>
      </c>
      <c r="I53" s="17" t="s">
        <v>674</v>
      </c>
      <c r="J53" s="17" t="s">
        <v>566</v>
      </c>
      <c r="K53" s="17" t="s">
        <v>675</v>
      </c>
    </row>
    <row r="54" customFormat="false" ht="42" hidden="false" customHeight="true" outlineLevel="0" collapsed="false">
      <c r="A54" s="24" t="str">
        <f aca="false">IF($F54=0,"",RANK($F54,$F$5:$F$62))</f>
        <v/>
      </c>
      <c r="B54" s="34" t="s">
        <v>382</v>
      </c>
      <c r="C54" s="8" t="s">
        <v>383</v>
      </c>
      <c r="D54" s="45" t="str">
        <f aca="false">'3 Capabilities'!$M54</f>
        <v/>
      </c>
      <c r="E54" s="35" t="str">
        <f aca="false">IF('3 Capabilities'!$G54="","",MAX(0,3-'3 Capabilities'!$M54))</f>
        <v/>
      </c>
      <c r="F54" s="35" t="n">
        <f aca="false">IF($E54="",0,14/100*10/100*$E54*1000)</f>
        <v>0</v>
      </c>
      <c r="G54" s="46" t="s">
        <v>556</v>
      </c>
      <c r="H54" s="47" t="s">
        <v>557</v>
      </c>
      <c r="I54" s="17" t="s">
        <v>676</v>
      </c>
      <c r="J54" s="17" t="s">
        <v>559</v>
      </c>
      <c r="K54" s="17" t="s">
        <v>677</v>
      </c>
    </row>
    <row r="55" customFormat="false" ht="42" hidden="false" customHeight="true" outlineLevel="0" collapsed="false">
      <c r="A55" s="24" t="str">
        <f aca="false">IF($F55=0,"",RANK($F55,$F$5:$F$62))</f>
        <v/>
      </c>
      <c r="B55" s="34" t="s">
        <v>386</v>
      </c>
      <c r="C55" s="8" t="s">
        <v>387</v>
      </c>
      <c r="D55" s="45" t="str">
        <f aca="false">'3 Capabilities'!$M55</f>
        <v/>
      </c>
      <c r="E55" s="35" t="str">
        <f aca="false">IF('3 Capabilities'!$G55="","",MAX(0,3-'3 Capabilities'!$M55))</f>
        <v/>
      </c>
      <c r="F55" s="35" t="n">
        <f aca="false">IF($E55="",0,14/100*10/100*$E55*1000)</f>
        <v>0</v>
      </c>
      <c r="G55" s="46" t="s">
        <v>572</v>
      </c>
      <c r="H55" s="47" t="s">
        <v>573</v>
      </c>
      <c r="I55" s="17" t="s">
        <v>678</v>
      </c>
      <c r="J55" s="17" t="s">
        <v>575</v>
      </c>
      <c r="K55" s="17" t="s">
        <v>679</v>
      </c>
    </row>
    <row r="56" customFormat="false" ht="42" hidden="false" customHeight="true" outlineLevel="0" collapsed="false">
      <c r="A56" s="24" t="str">
        <f aca="false">IF($F56=0,"",RANK($F56,$F$5:$F$62))</f>
        <v/>
      </c>
      <c r="B56" s="34" t="s">
        <v>391</v>
      </c>
      <c r="C56" s="8" t="s">
        <v>392</v>
      </c>
      <c r="D56" s="45" t="str">
        <f aca="false">'3 Capabilities'!$M56</f>
        <v/>
      </c>
      <c r="E56" s="35" t="str">
        <f aca="false">IF('3 Capabilities'!$G56="","",MAX(0,3-'3 Capabilities'!$M56))</f>
        <v/>
      </c>
      <c r="F56" s="35" t="n">
        <f aca="false">IF($E56="",0,12/100*18/100*$E56*1000)</f>
        <v>0</v>
      </c>
      <c r="G56" s="46" t="s">
        <v>556</v>
      </c>
      <c r="H56" s="47" t="s">
        <v>557</v>
      </c>
      <c r="I56" s="17" t="s">
        <v>680</v>
      </c>
      <c r="J56" s="17" t="s">
        <v>566</v>
      </c>
      <c r="K56" s="17" t="s">
        <v>681</v>
      </c>
    </row>
    <row r="57" customFormat="false" ht="42" hidden="false" customHeight="true" outlineLevel="0" collapsed="false">
      <c r="A57" s="24" t="str">
        <f aca="false">IF($F57=0,"",RANK($F57,$F$5:$F$62))</f>
        <v/>
      </c>
      <c r="B57" s="34" t="s">
        <v>395</v>
      </c>
      <c r="C57" s="8" t="s">
        <v>396</v>
      </c>
      <c r="D57" s="45" t="str">
        <f aca="false">'3 Capabilities'!$M57</f>
        <v/>
      </c>
      <c r="E57" s="35" t="str">
        <f aca="false">IF('3 Capabilities'!$G57="","",MAX(0,3-'3 Capabilities'!$M57))</f>
        <v/>
      </c>
      <c r="F57" s="35" t="n">
        <f aca="false">IF($E57="",0,12/100*18/100*$E57*1000)</f>
        <v>0</v>
      </c>
      <c r="G57" s="46" t="s">
        <v>561</v>
      </c>
      <c r="H57" s="47" t="s">
        <v>562</v>
      </c>
      <c r="I57" s="17" t="s">
        <v>682</v>
      </c>
      <c r="J57" s="17" t="s">
        <v>559</v>
      </c>
      <c r="K57" s="17" t="s">
        <v>683</v>
      </c>
    </row>
    <row r="58" customFormat="false" ht="42" hidden="false" customHeight="true" outlineLevel="0" collapsed="false">
      <c r="A58" s="24" t="str">
        <f aca="false">IF($F58=0,"",RANK($F58,$F$5:$F$62))</f>
        <v/>
      </c>
      <c r="B58" s="34" t="s">
        <v>399</v>
      </c>
      <c r="C58" s="8" t="s">
        <v>400</v>
      </c>
      <c r="D58" s="45" t="str">
        <f aca="false">'3 Capabilities'!$M58</f>
        <v/>
      </c>
      <c r="E58" s="35" t="str">
        <f aca="false">IF('3 Capabilities'!$G58="","",MAX(0,3-'3 Capabilities'!$M58))</f>
        <v/>
      </c>
      <c r="F58" s="35" t="n">
        <f aca="false">IF($E58="",0,12/100*16/100*$E58*1000)</f>
        <v>0</v>
      </c>
      <c r="G58" s="46" t="s">
        <v>561</v>
      </c>
      <c r="H58" s="47" t="s">
        <v>562</v>
      </c>
      <c r="I58" s="17" t="s">
        <v>684</v>
      </c>
      <c r="J58" s="17" t="s">
        <v>637</v>
      </c>
      <c r="K58" s="17" t="s">
        <v>685</v>
      </c>
    </row>
    <row r="59" customFormat="false" ht="42" hidden="false" customHeight="true" outlineLevel="0" collapsed="false">
      <c r="A59" s="24" t="str">
        <f aca="false">IF($F59=0,"",RANK($F59,$F$5:$F$62))</f>
        <v/>
      </c>
      <c r="B59" s="34" t="s">
        <v>403</v>
      </c>
      <c r="C59" s="8" t="s">
        <v>404</v>
      </c>
      <c r="D59" s="45" t="str">
        <f aca="false">'3 Capabilities'!$M59</f>
        <v/>
      </c>
      <c r="E59" s="35" t="str">
        <f aca="false">IF('3 Capabilities'!$G59="","",MAX(0,3-'3 Capabilities'!$M59))</f>
        <v/>
      </c>
      <c r="F59" s="35" t="n">
        <f aca="false">IF($E59="",0,12/100*12/100*$E59*1000)</f>
        <v>0</v>
      </c>
      <c r="G59" s="46" t="s">
        <v>556</v>
      </c>
      <c r="H59" s="47" t="s">
        <v>557</v>
      </c>
      <c r="I59" s="17" t="s">
        <v>686</v>
      </c>
      <c r="J59" s="17" t="s">
        <v>687</v>
      </c>
      <c r="K59" s="17" t="s">
        <v>688</v>
      </c>
    </row>
    <row r="60" customFormat="false" ht="42" hidden="false" customHeight="true" outlineLevel="0" collapsed="false">
      <c r="A60" s="24" t="str">
        <f aca="false">IF($F60=0,"",RANK($F60,$F$5:$F$62))</f>
        <v/>
      </c>
      <c r="B60" s="34" t="s">
        <v>407</v>
      </c>
      <c r="C60" s="8" t="s">
        <v>408</v>
      </c>
      <c r="D60" s="45" t="str">
        <f aca="false">'3 Capabilities'!$M60</f>
        <v/>
      </c>
      <c r="E60" s="35" t="str">
        <f aca="false">IF('3 Capabilities'!$G60="","",MAX(0,3-'3 Capabilities'!$M60))</f>
        <v/>
      </c>
      <c r="F60" s="35" t="n">
        <f aca="false">IF($E60="",0,12/100*12/100*$E60*1000)</f>
        <v>0</v>
      </c>
      <c r="G60" s="46" t="s">
        <v>572</v>
      </c>
      <c r="H60" s="47" t="s">
        <v>573</v>
      </c>
      <c r="I60" s="17" t="s">
        <v>689</v>
      </c>
      <c r="J60" s="17" t="s">
        <v>575</v>
      </c>
      <c r="K60" s="17" t="s">
        <v>690</v>
      </c>
    </row>
    <row r="61" customFormat="false" ht="42" hidden="false" customHeight="true" outlineLevel="0" collapsed="false">
      <c r="A61" s="24" t="str">
        <f aca="false">IF($F61=0,"",RANK($F61,$F$5:$F$62))</f>
        <v/>
      </c>
      <c r="B61" s="34" t="s">
        <v>411</v>
      </c>
      <c r="C61" s="8" t="s">
        <v>412</v>
      </c>
      <c r="D61" s="45" t="str">
        <f aca="false">'3 Capabilities'!$M61</f>
        <v/>
      </c>
      <c r="E61" s="35" t="str">
        <f aca="false">IF('3 Capabilities'!$G61="","",MAX(0,3-'3 Capabilities'!$M61))</f>
        <v/>
      </c>
      <c r="F61" s="35" t="n">
        <f aca="false">IF($E61="",0,12/100*12/100*$E61*1000)</f>
        <v>0</v>
      </c>
      <c r="G61" s="46" t="s">
        <v>556</v>
      </c>
      <c r="H61" s="47" t="s">
        <v>557</v>
      </c>
      <c r="I61" s="17" t="s">
        <v>691</v>
      </c>
      <c r="J61" s="17" t="s">
        <v>578</v>
      </c>
      <c r="K61" s="17" t="s">
        <v>692</v>
      </c>
    </row>
    <row r="62" customFormat="false" ht="42" hidden="false" customHeight="true" outlineLevel="0" collapsed="false">
      <c r="A62" s="24" t="str">
        <f aca="false">IF($F62=0,"",RANK($F62,$F$5:$F$62))</f>
        <v/>
      </c>
      <c r="B62" s="34" t="s">
        <v>415</v>
      </c>
      <c r="C62" s="8" t="s">
        <v>416</v>
      </c>
      <c r="D62" s="45" t="str">
        <f aca="false">'3 Capabilities'!$M62</f>
        <v/>
      </c>
      <c r="E62" s="35" t="str">
        <f aca="false">IF('3 Capabilities'!$G62="","",MAX(0,3-'3 Capabilities'!$M62))</f>
        <v/>
      </c>
      <c r="F62" s="35" t="n">
        <f aca="false">IF($E62="",0,12/100*12/100*$E62*1000)</f>
        <v>0</v>
      </c>
      <c r="G62" s="46" t="s">
        <v>561</v>
      </c>
      <c r="H62" s="47" t="s">
        <v>562</v>
      </c>
      <c r="I62" s="17" t="s">
        <v>693</v>
      </c>
      <c r="J62" s="17" t="s">
        <v>575</v>
      </c>
      <c r="K62" s="17" t="s">
        <v>694</v>
      </c>
    </row>
    <row r="63" customFormat="false" ht="15" hidden="false" customHeight="false" outlineLevel="0" collapsed="false">
      <c r="A63" s="1"/>
      <c r="B63" s="1"/>
      <c r="C63" s="1"/>
      <c r="D63" s="1"/>
      <c r="E63" s="1"/>
      <c r="F63" s="1"/>
      <c r="G63" s="1"/>
      <c r="H63" s="1"/>
      <c r="I63" s="1"/>
      <c r="J63" s="1"/>
      <c r="K63" s="1"/>
    </row>
    <row r="64" customFormat="false" ht="52.2" hidden="false" customHeight="false" outlineLevel="0" collapsed="false">
      <c r="A64" s="4" t="s">
        <v>695</v>
      </c>
      <c r="B64" s="1"/>
      <c r="C64" s="15" t="s">
        <v>696</v>
      </c>
      <c r="D64" s="1"/>
      <c r="E64" s="1"/>
      <c r="F64" s="1"/>
      <c r="G64" s="1"/>
      <c r="H64" s="1"/>
      <c r="I64" s="1"/>
      <c r="J64" s="1"/>
      <c r="K64" s="1"/>
    </row>
    <row r="65" customFormat="false" ht="30" hidden="false" customHeight="true" outlineLevel="0" collapsed="false">
      <c r="A65" s="6" t="s">
        <v>546</v>
      </c>
      <c r="B65" s="6" t="s">
        <v>697</v>
      </c>
      <c r="C65" s="6" t="s">
        <v>421</v>
      </c>
      <c r="D65" s="6" t="s">
        <v>424</v>
      </c>
      <c r="E65" s="6" t="s">
        <v>698</v>
      </c>
      <c r="F65" s="6" t="s">
        <v>550</v>
      </c>
      <c r="G65" s="6" t="s">
        <v>699</v>
      </c>
      <c r="H65" s="6"/>
      <c r="I65" s="6" t="s">
        <v>700</v>
      </c>
      <c r="J65" s="6"/>
      <c r="K65" s="6"/>
    </row>
    <row r="66" customFormat="false" ht="27.75" hidden="false" customHeight="true" outlineLevel="0" collapsed="false">
      <c r="A66" s="24" t="str">
        <f aca="false">IF($F66=0,"",RANK($F66,$F$66:$F$129))</f>
        <v/>
      </c>
      <c r="B66" s="34" t="s">
        <v>701</v>
      </c>
      <c r="C66" s="17" t="s">
        <v>439</v>
      </c>
      <c r="D66" s="17" t="s">
        <v>702</v>
      </c>
      <c r="E66" s="48" t="str">
        <f aca="false">IF('4 Lattice'!$M5=0,"not in scope",'4 Lattice'!$G5)</f>
        <v>not in scope</v>
      </c>
      <c r="F66" s="45" t="n">
        <f aca="false">'4 Lattice'!$O5</f>
        <v>0</v>
      </c>
      <c r="G66" s="18" t="str">
        <f aca="false">IF('4 Lattice'!$P5=1,"BLIND","")</f>
        <v/>
      </c>
      <c r="H66" s="1"/>
      <c r="I66" s="17" t="str">
        <f aca="false">IF('4 Lattice'!$P5=1,"No response option on a crown jewel. Fix before anything else on this sheet.",IF('4 Lattice'!$M5=0,"",IF('4 Lattice'!$L5=3,"Proven. Keep it rehearsed.","Can architecture stop it, or materially slow it, before response is needed?")))</f>
        <v/>
      </c>
      <c r="J66" s="1"/>
      <c r="K66" s="1"/>
    </row>
    <row r="67" customFormat="false" ht="27.75" hidden="false" customHeight="true" outlineLevel="0" collapsed="false">
      <c r="A67" s="24" t="str">
        <f aca="false">IF($F67=0,"",RANK($F67,$F$66:$F$129))</f>
        <v/>
      </c>
      <c r="B67" s="34" t="s">
        <v>703</v>
      </c>
      <c r="C67" s="17" t="s">
        <v>439</v>
      </c>
      <c r="D67" s="17" t="s">
        <v>704</v>
      </c>
      <c r="E67" s="48" t="str">
        <f aca="false">IF('4 Lattice'!$M6=0,"not in scope",'4 Lattice'!$G6)</f>
        <v>not in scope</v>
      </c>
      <c r="F67" s="45" t="n">
        <f aca="false">'4 Lattice'!$O6</f>
        <v>0</v>
      </c>
      <c r="G67" s="18" t="str">
        <f aca="false">IF('4 Lattice'!$P6=1,"BLIND","")</f>
        <v/>
      </c>
      <c r="H67" s="1"/>
      <c r="I67" s="17" t="str">
        <f aca="false">IF('4 Lattice'!$P6=1,"No response option on a crown jewel. Fix before anything else on this sheet.",IF('4 Lattice'!$M6=0,"",IF('4 Lattice'!$L6=3,"Proven. Keep it rehearsed.","Can architecture stop it, or materially slow it, before response is needed?")))</f>
        <v/>
      </c>
      <c r="J67" s="1"/>
      <c r="K67" s="1"/>
    </row>
    <row r="68" customFormat="false" ht="27.75" hidden="false" customHeight="true" outlineLevel="0" collapsed="false">
      <c r="A68" s="24" t="str">
        <f aca="false">IF($F68=0,"",RANK($F68,$F$66:$F$129))</f>
        <v/>
      </c>
      <c r="B68" s="34" t="s">
        <v>705</v>
      </c>
      <c r="C68" s="17" t="s">
        <v>439</v>
      </c>
      <c r="D68" s="17" t="s">
        <v>706</v>
      </c>
      <c r="E68" s="48" t="str">
        <f aca="false">IF('4 Lattice'!$M7=0,"not in scope",'4 Lattice'!$G7)</f>
        <v>not in scope</v>
      </c>
      <c r="F68" s="45" t="n">
        <f aca="false">'4 Lattice'!$O7</f>
        <v>0</v>
      </c>
      <c r="G68" s="18" t="str">
        <f aca="false">IF('4 Lattice'!$P7=1,"BLIND","")</f>
        <v/>
      </c>
      <c r="H68" s="1"/>
      <c r="I68" s="17" t="str">
        <f aca="false">IF('4 Lattice'!$P7=1,"No response option on a crown jewel. Fix before anything else on this sheet.",IF('4 Lattice'!$M7=0,"",IF('4 Lattice'!$L7=3,"Proven. Keep it rehearsed.","Can architecture stop it, or materially slow it, before response is needed?")))</f>
        <v/>
      </c>
      <c r="J68" s="1"/>
      <c r="K68" s="1"/>
    </row>
    <row r="69" customFormat="false" ht="27.75" hidden="false" customHeight="true" outlineLevel="0" collapsed="false">
      <c r="A69" s="24" t="str">
        <f aca="false">IF($F69=0,"",RANK($F69,$F$66:$F$129))</f>
        <v/>
      </c>
      <c r="B69" s="34" t="s">
        <v>707</v>
      </c>
      <c r="C69" s="17" t="s">
        <v>439</v>
      </c>
      <c r="D69" s="17" t="s">
        <v>708</v>
      </c>
      <c r="E69" s="48" t="str">
        <f aca="false">IF('4 Lattice'!$M8=0,"not in scope",'4 Lattice'!$G8)</f>
        <v>not in scope</v>
      </c>
      <c r="F69" s="45" t="n">
        <f aca="false">'4 Lattice'!$O8</f>
        <v>0</v>
      </c>
      <c r="G69" s="18" t="str">
        <f aca="false">IF('4 Lattice'!$P8=1,"BLIND","")</f>
        <v/>
      </c>
      <c r="H69" s="1"/>
      <c r="I69" s="17" t="str">
        <f aca="false">IF('4 Lattice'!$P8=1,"No response option on a crown jewel. Fix before anything else on this sheet.",IF('4 Lattice'!$M8=0,"",IF('4 Lattice'!$L8=3,"Proven. Keep it rehearsed.","Can architecture stop it, or materially slow it, before response is needed?")))</f>
        <v/>
      </c>
      <c r="J69" s="1"/>
      <c r="K69" s="1"/>
    </row>
    <row r="70" customFormat="false" ht="27.75" hidden="false" customHeight="true" outlineLevel="0" collapsed="false">
      <c r="A70" s="24" t="str">
        <f aca="false">IF($F70=0,"",RANK($F70,$F$66:$F$129))</f>
        <v/>
      </c>
      <c r="B70" s="34" t="s">
        <v>709</v>
      </c>
      <c r="C70" s="17" t="s">
        <v>439</v>
      </c>
      <c r="D70" s="17" t="s">
        <v>710</v>
      </c>
      <c r="E70" s="48" t="str">
        <f aca="false">IF('4 Lattice'!$M9=0,"not in scope",'4 Lattice'!$G9)</f>
        <v>not in scope</v>
      </c>
      <c r="F70" s="45" t="n">
        <f aca="false">'4 Lattice'!$O9</f>
        <v>0</v>
      </c>
      <c r="G70" s="18" t="str">
        <f aca="false">IF('4 Lattice'!$P9=1,"BLIND","")</f>
        <v/>
      </c>
      <c r="H70" s="1"/>
      <c r="I70" s="17" t="str">
        <f aca="false">IF('4 Lattice'!$P9=1,"No response option on a crown jewel. Fix before anything else on this sheet.",IF('4 Lattice'!$M9=0,"",IF('4 Lattice'!$L9=3,"Proven. Keep it rehearsed.","Can architecture stop it, or materially slow it, before response is needed?")))</f>
        <v/>
      </c>
      <c r="J70" s="1"/>
      <c r="K70" s="1"/>
    </row>
    <row r="71" customFormat="false" ht="27.75" hidden="false" customHeight="true" outlineLevel="0" collapsed="false">
      <c r="A71" s="24" t="str">
        <f aca="false">IF($F71=0,"",RANK($F71,$F$66:$F$129))</f>
        <v/>
      </c>
      <c r="B71" s="34" t="s">
        <v>711</v>
      </c>
      <c r="C71" s="17" t="s">
        <v>439</v>
      </c>
      <c r="D71" s="17" t="s">
        <v>712</v>
      </c>
      <c r="E71" s="48" t="str">
        <f aca="false">IF('4 Lattice'!$M10=0,"not in scope",'4 Lattice'!$G10)</f>
        <v>not in scope</v>
      </c>
      <c r="F71" s="45" t="n">
        <f aca="false">'4 Lattice'!$O10</f>
        <v>0</v>
      </c>
      <c r="G71" s="18" t="str">
        <f aca="false">IF('4 Lattice'!$P10=1,"BLIND","")</f>
        <v/>
      </c>
      <c r="H71" s="1"/>
      <c r="I71" s="17" t="str">
        <f aca="false">IF('4 Lattice'!$P10=1,"No response option on a crown jewel. Fix before anything else on this sheet.",IF('4 Lattice'!$M10=0,"",IF('4 Lattice'!$L10=3,"Proven. Keep it rehearsed.","Can architecture stop it, or materially slow it, before response is needed?")))</f>
        <v/>
      </c>
      <c r="J71" s="1"/>
      <c r="K71" s="1"/>
    </row>
    <row r="72" customFormat="false" ht="27.75" hidden="false" customHeight="true" outlineLevel="0" collapsed="false">
      <c r="A72" s="24" t="str">
        <f aca="false">IF($F72=0,"",RANK($F72,$F$66:$F$129))</f>
        <v/>
      </c>
      <c r="B72" s="34" t="s">
        <v>713</v>
      </c>
      <c r="C72" s="17" t="s">
        <v>439</v>
      </c>
      <c r="D72" s="17" t="s">
        <v>714</v>
      </c>
      <c r="E72" s="48" t="str">
        <f aca="false">IF('4 Lattice'!$M11=0,"not in scope",'4 Lattice'!$G11)</f>
        <v>not in scope</v>
      </c>
      <c r="F72" s="45" t="n">
        <f aca="false">'4 Lattice'!$O11</f>
        <v>0</v>
      </c>
      <c r="G72" s="18" t="str">
        <f aca="false">IF('4 Lattice'!$P11=1,"BLIND","")</f>
        <v/>
      </c>
      <c r="H72" s="1"/>
      <c r="I72" s="17" t="str">
        <f aca="false">IF('4 Lattice'!$P11=1,"No response option on a crown jewel. Fix before anything else on this sheet.",IF('4 Lattice'!$M11=0,"",IF('4 Lattice'!$L11=3,"Proven. Keep it rehearsed.","Can architecture stop it, or materially slow it, before response is needed?")))</f>
        <v/>
      </c>
      <c r="J72" s="1"/>
      <c r="K72" s="1"/>
    </row>
    <row r="73" customFormat="false" ht="27.75" hidden="false" customHeight="true" outlineLevel="0" collapsed="false">
      <c r="A73" s="24" t="str">
        <f aca="false">IF($F73=0,"",RANK($F73,$F$66:$F$129))</f>
        <v/>
      </c>
      <c r="B73" s="34" t="s">
        <v>715</v>
      </c>
      <c r="C73" s="17" t="s">
        <v>439</v>
      </c>
      <c r="D73" s="17" t="s">
        <v>716</v>
      </c>
      <c r="E73" s="48" t="str">
        <f aca="false">IF('4 Lattice'!$M12=0,"not in scope",'4 Lattice'!$G12)</f>
        <v>not in scope</v>
      </c>
      <c r="F73" s="45" t="n">
        <f aca="false">'4 Lattice'!$O12</f>
        <v>0</v>
      </c>
      <c r="G73" s="18" t="str">
        <f aca="false">IF('4 Lattice'!$P12=1,"BLIND","")</f>
        <v/>
      </c>
      <c r="H73" s="1"/>
      <c r="I73" s="17" t="str">
        <f aca="false">IF('4 Lattice'!$P12=1,"No response option on a crown jewel. Fix before anything else on this sheet.",IF('4 Lattice'!$M12=0,"",IF('4 Lattice'!$L12=3,"Proven. Keep it rehearsed.","Can architecture stop it, or materially slow it, before response is needed?")))</f>
        <v/>
      </c>
      <c r="J73" s="1"/>
      <c r="K73" s="1"/>
    </row>
    <row r="74" customFormat="false" ht="27.75" hidden="false" customHeight="true" outlineLevel="0" collapsed="false">
      <c r="A74" s="24" t="str">
        <f aca="false">IF($F74=0,"",RANK($F74,$F$66:$F$129))</f>
        <v/>
      </c>
      <c r="B74" s="34" t="s">
        <v>717</v>
      </c>
      <c r="C74" s="17" t="s">
        <v>457</v>
      </c>
      <c r="D74" s="17" t="s">
        <v>702</v>
      </c>
      <c r="E74" s="48" t="str">
        <f aca="false">IF('4 Lattice'!$M13=0,"not in scope",'4 Lattice'!$G13)</f>
        <v>not in scope</v>
      </c>
      <c r="F74" s="45" t="n">
        <f aca="false">'4 Lattice'!$O13</f>
        <v>0</v>
      </c>
      <c r="G74" s="18" t="str">
        <f aca="false">IF('4 Lattice'!$P13=1,"BLIND","")</f>
        <v/>
      </c>
      <c r="H74" s="1"/>
      <c r="I74" s="17" t="str">
        <f aca="false">IF('4 Lattice'!$P13=1,"No response option on a crown jewel. Fix before anything else on this sheet.",IF('4 Lattice'!$M13=0,"",IF('4 Lattice'!$L13=3,"Proven. Keep it rehearsed.","Can we cut the entry before execution?")))</f>
        <v/>
      </c>
      <c r="J74" s="1"/>
      <c r="K74" s="1"/>
    </row>
    <row r="75" customFormat="false" ht="27.75" hidden="false" customHeight="true" outlineLevel="0" collapsed="false">
      <c r="A75" s="24" t="str">
        <f aca="false">IF($F75=0,"",RANK($F75,$F$66:$F$129))</f>
        <v/>
      </c>
      <c r="B75" s="34" t="s">
        <v>718</v>
      </c>
      <c r="C75" s="17" t="s">
        <v>457</v>
      </c>
      <c r="D75" s="17" t="s">
        <v>704</v>
      </c>
      <c r="E75" s="48" t="str">
        <f aca="false">IF('4 Lattice'!$M14=0,"not in scope",'4 Lattice'!$G14)</f>
        <v>not in scope</v>
      </c>
      <c r="F75" s="45" t="n">
        <f aca="false">'4 Lattice'!$O14</f>
        <v>0</v>
      </c>
      <c r="G75" s="18" t="str">
        <f aca="false">IF('4 Lattice'!$P14=1,"BLIND","")</f>
        <v/>
      </c>
      <c r="H75" s="1"/>
      <c r="I75" s="17" t="str">
        <f aca="false">IF('4 Lattice'!$P14=1,"No response option on a crown jewel. Fix before anything else on this sheet.",IF('4 Lattice'!$M14=0,"",IF('4 Lattice'!$L14=3,"Proven. Keep it rehearsed.","Can we cut the entry before execution?")))</f>
        <v/>
      </c>
      <c r="J75" s="1"/>
      <c r="K75" s="1"/>
    </row>
    <row r="76" customFormat="false" ht="27.75" hidden="false" customHeight="true" outlineLevel="0" collapsed="false">
      <c r="A76" s="24" t="str">
        <f aca="false">IF($F76=0,"",RANK($F76,$F$66:$F$129))</f>
        <v/>
      </c>
      <c r="B76" s="34" t="s">
        <v>719</v>
      </c>
      <c r="C76" s="17" t="s">
        <v>457</v>
      </c>
      <c r="D76" s="17" t="s">
        <v>706</v>
      </c>
      <c r="E76" s="48" t="str">
        <f aca="false">IF('4 Lattice'!$M15=0,"not in scope",'4 Lattice'!$G15)</f>
        <v>not in scope</v>
      </c>
      <c r="F76" s="45" t="n">
        <f aca="false">'4 Lattice'!$O15</f>
        <v>0</v>
      </c>
      <c r="G76" s="18" t="str">
        <f aca="false">IF('4 Lattice'!$P15=1,"BLIND","")</f>
        <v/>
      </c>
      <c r="H76" s="1"/>
      <c r="I76" s="17" t="str">
        <f aca="false">IF('4 Lattice'!$P15=1,"No response option on a crown jewel. Fix before anything else on this sheet.",IF('4 Lattice'!$M15=0,"",IF('4 Lattice'!$L15=3,"Proven. Keep it rehearsed.","Can we cut the entry before execution?")))</f>
        <v/>
      </c>
      <c r="J76" s="1"/>
      <c r="K76" s="1"/>
    </row>
    <row r="77" customFormat="false" ht="27.75" hidden="false" customHeight="true" outlineLevel="0" collapsed="false">
      <c r="A77" s="24" t="str">
        <f aca="false">IF($F77=0,"",RANK($F77,$F$66:$F$129))</f>
        <v/>
      </c>
      <c r="B77" s="34" t="s">
        <v>720</v>
      </c>
      <c r="C77" s="17" t="s">
        <v>457</v>
      </c>
      <c r="D77" s="17" t="s">
        <v>708</v>
      </c>
      <c r="E77" s="48" t="str">
        <f aca="false">IF('4 Lattice'!$M16=0,"not in scope",'4 Lattice'!$G16)</f>
        <v>not in scope</v>
      </c>
      <c r="F77" s="45" t="n">
        <f aca="false">'4 Lattice'!$O16</f>
        <v>0</v>
      </c>
      <c r="G77" s="18" t="str">
        <f aca="false">IF('4 Lattice'!$P16=1,"BLIND","")</f>
        <v/>
      </c>
      <c r="H77" s="1"/>
      <c r="I77" s="17" t="str">
        <f aca="false">IF('4 Lattice'!$P16=1,"No response option on a crown jewel. Fix before anything else on this sheet.",IF('4 Lattice'!$M16=0,"",IF('4 Lattice'!$L16=3,"Proven. Keep it rehearsed.","Can we cut the entry before execution?")))</f>
        <v/>
      </c>
      <c r="J77" s="1"/>
      <c r="K77" s="1"/>
    </row>
    <row r="78" customFormat="false" ht="27.75" hidden="false" customHeight="true" outlineLevel="0" collapsed="false">
      <c r="A78" s="24" t="str">
        <f aca="false">IF($F78=0,"",RANK($F78,$F$66:$F$129))</f>
        <v/>
      </c>
      <c r="B78" s="34" t="s">
        <v>721</v>
      </c>
      <c r="C78" s="17" t="s">
        <v>457</v>
      </c>
      <c r="D78" s="17" t="s">
        <v>710</v>
      </c>
      <c r="E78" s="48" t="str">
        <f aca="false">IF('4 Lattice'!$M17=0,"not in scope",'4 Lattice'!$G17)</f>
        <v>not in scope</v>
      </c>
      <c r="F78" s="45" t="n">
        <f aca="false">'4 Lattice'!$O17</f>
        <v>0</v>
      </c>
      <c r="G78" s="18" t="str">
        <f aca="false">IF('4 Lattice'!$P17=1,"BLIND","")</f>
        <v/>
      </c>
      <c r="H78" s="1"/>
      <c r="I78" s="17" t="str">
        <f aca="false">IF('4 Lattice'!$P17=1,"No response option on a crown jewel. Fix before anything else on this sheet.",IF('4 Lattice'!$M17=0,"",IF('4 Lattice'!$L17=3,"Proven. Keep it rehearsed.","Can we cut the entry before execution?")))</f>
        <v/>
      </c>
      <c r="J78" s="1"/>
      <c r="K78" s="1"/>
    </row>
    <row r="79" customFormat="false" ht="27.75" hidden="false" customHeight="true" outlineLevel="0" collapsed="false">
      <c r="A79" s="24" t="str">
        <f aca="false">IF($F79=0,"",RANK($F79,$F$66:$F$129))</f>
        <v/>
      </c>
      <c r="B79" s="34" t="s">
        <v>722</v>
      </c>
      <c r="C79" s="17" t="s">
        <v>457</v>
      </c>
      <c r="D79" s="17" t="s">
        <v>712</v>
      </c>
      <c r="E79" s="48" t="str">
        <f aca="false">IF('4 Lattice'!$M18=0,"not in scope",'4 Lattice'!$G18)</f>
        <v>not in scope</v>
      </c>
      <c r="F79" s="45" t="n">
        <f aca="false">'4 Lattice'!$O18</f>
        <v>0</v>
      </c>
      <c r="G79" s="18" t="str">
        <f aca="false">IF('4 Lattice'!$P18=1,"BLIND","")</f>
        <v/>
      </c>
      <c r="H79" s="1"/>
      <c r="I79" s="17" t="str">
        <f aca="false">IF('4 Lattice'!$P18=1,"No response option on a crown jewel. Fix before anything else on this sheet.",IF('4 Lattice'!$M18=0,"",IF('4 Lattice'!$L18=3,"Proven. Keep it rehearsed.","Can we cut the entry before execution?")))</f>
        <v/>
      </c>
      <c r="J79" s="1"/>
      <c r="K79" s="1"/>
    </row>
    <row r="80" customFormat="false" ht="27.75" hidden="false" customHeight="true" outlineLevel="0" collapsed="false">
      <c r="A80" s="24" t="str">
        <f aca="false">IF($F80=0,"",RANK($F80,$F$66:$F$129))</f>
        <v/>
      </c>
      <c r="B80" s="34" t="s">
        <v>723</v>
      </c>
      <c r="C80" s="17" t="s">
        <v>457</v>
      </c>
      <c r="D80" s="17" t="s">
        <v>714</v>
      </c>
      <c r="E80" s="48" t="str">
        <f aca="false">IF('4 Lattice'!$M19=0,"not in scope",'4 Lattice'!$G19)</f>
        <v>not in scope</v>
      </c>
      <c r="F80" s="45" t="n">
        <f aca="false">'4 Lattice'!$O19</f>
        <v>0</v>
      </c>
      <c r="G80" s="18" t="str">
        <f aca="false">IF('4 Lattice'!$P19=1,"BLIND","")</f>
        <v/>
      </c>
      <c r="H80" s="1"/>
      <c r="I80" s="17" t="str">
        <f aca="false">IF('4 Lattice'!$P19=1,"No response option on a crown jewel. Fix before anything else on this sheet.",IF('4 Lattice'!$M19=0,"",IF('4 Lattice'!$L19=3,"Proven. Keep it rehearsed.","Can we cut the entry before execution?")))</f>
        <v/>
      </c>
      <c r="J80" s="1"/>
      <c r="K80" s="1"/>
    </row>
    <row r="81" customFormat="false" ht="27.75" hidden="false" customHeight="true" outlineLevel="0" collapsed="false">
      <c r="A81" s="24" t="str">
        <f aca="false">IF($F81=0,"",RANK($F81,$F$66:$F$129))</f>
        <v/>
      </c>
      <c r="B81" s="34" t="s">
        <v>724</v>
      </c>
      <c r="C81" s="17" t="s">
        <v>457</v>
      </c>
      <c r="D81" s="17" t="s">
        <v>716</v>
      </c>
      <c r="E81" s="48" t="str">
        <f aca="false">IF('4 Lattice'!$M20=0,"not in scope",'4 Lattice'!$G20)</f>
        <v>not in scope</v>
      </c>
      <c r="F81" s="45" t="n">
        <f aca="false">'4 Lattice'!$O20</f>
        <v>0</v>
      </c>
      <c r="G81" s="18" t="str">
        <f aca="false">IF('4 Lattice'!$P20=1,"BLIND","")</f>
        <v/>
      </c>
      <c r="H81" s="1"/>
      <c r="I81" s="17" t="str">
        <f aca="false">IF('4 Lattice'!$P20=1,"No response option on a crown jewel. Fix before anything else on this sheet.",IF('4 Lattice'!$M20=0,"",IF('4 Lattice'!$L20=3,"Proven. Keep it rehearsed.","Can we cut the entry before execution?")))</f>
        <v/>
      </c>
      <c r="J81" s="1"/>
      <c r="K81" s="1"/>
    </row>
    <row r="82" customFormat="false" ht="27.75" hidden="false" customHeight="true" outlineLevel="0" collapsed="false">
      <c r="A82" s="24" t="str">
        <f aca="false">IF($F82=0,"",RANK($F82,$F$66:$F$129))</f>
        <v/>
      </c>
      <c r="B82" s="34" t="s">
        <v>725</v>
      </c>
      <c r="C82" s="17" t="s">
        <v>459</v>
      </c>
      <c r="D82" s="17" t="s">
        <v>702</v>
      </c>
      <c r="E82" s="48" t="str">
        <f aca="false">IF('4 Lattice'!$M21=0,"not in scope",'4 Lattice'!$G21)</f>
        <v>not in scope</v>
      </c>
      <c r="F82" s="45" t="n">
        <f aca="false">'4 Lattice'!$O21</f>
        <v>0</v>
      </c>
      <c r="G82" s="18" t="str">
        <f aca="false">IF('4 Lattice'!$P21=1,"BLIND","")</f>
        <v/>
      </c>
      <c r="H82" s="1"/>
      <c r="I82" s="17" t="str">
        <f aca="false">IF('4 Lattice'!$P21=1,"No response option on a crown jewel. Fix before anything else on this sheet.",IF('4 Lattice'!$M21=0,"",IF('4 Lattice'!$L21=3,"Proven. Keep it rehearsed.","Can we kill it and prevent return?")))</f>
        <v/>
      </c>
      <c r="J82" s="1"/>
      <c r="K82" s="1"/>
    </row>
    <row r="83" customFormat="false" ht="27.75" hidden="false" customHeight="true" outlineLevel="0" collapsed="false">
      <c r="A83" s="24" t="str">
        <f aca="false">IF($F83=0,"",RANK($F83,$F$66:$F$129))</f>
        <v/>
      </c>
      <c r="B83" s="34" t="s">
        <v>726</v>
      </c>
      <c r="C83" s="17" t="s">
        <v>459</v>
      </c>
      <c r="D83" s="17" t="s">
        <v>704</v>
      </c>
      <c r="E83" s="48" t="str">
        <f aca="false">IF('4 Lattice'!$M22=0,"not in scope",'4 Lattice'!$G22)</f>
        <v>not in scope</v>
      </c>
      <c r="F83" s="45" t="n">
        <f aca="false">'4 Lattice'!$O22</f>
        <v>0</v>
      </c>
      <c r="G83" s="18" t="str">
        <f aca="false">IF('4 Lattice'!$P22=1,"BLIND","")</f>
        <v/>
      </c>
      <c r="H83" s="1"/>
      <c r="I83" s="17" t="str">
        <f aca="false">IF('4 Lattice'!$P22=1,"No response option on a crown jewel. Fix before anything else on this sheet.",IF('4 Lattice'!$M22=0,"",IF('4 Lattice'!$L22=3,"Proven. Keep it rehearsed.","Can we kill it and prevent return?")))</f>
        <v/>
      </c>
      <c r="J83" s="1"/>
      <c r="K83" s="1"/>
    </row>
    <row r="84" customFormat="false" ht="27.75" hidden="false" customHeight="true" outlineLevel="0" collapsed="false">
      <c r="A84" s="24" t="str">
        <f aca="false">IF($F84=0,"",RANK($F84,$F$66:$F$129))</f>
        <v/>
      </c>
      <c r="B84" s="34" t="s">
        <v>727</v>
      </c>
      <c r="C84" s="17" t="s">
        <v>459</v>
      </c>
      <c r="D84" s="17" t="s">
        <v>706</v>
      </c>
      <c r="E84" s="48" t="str">
        <f aca="false">IF('4 Lattice'!$M23=0,"not in scope",'4 Lattice'!$G23)</f>
        <v>not in scope</v>
      </c>
      <c r="F84" s="45" t="n">
        <f aca="false">'4 Lattice'!$O23</f>
        <v>0</v>
      </c>
      <c r="G84" s="18" t="str">
        <f aca="false">IF('4 Lattice'!$P23=1,"BLIND","")</f>
        <v/>
      </c>
      <c r="H84" s="1"/>
      <c r="I84" s="17" t="str">
        <f aca="false">IF('4 Lattice'!$P23=1,"No response option on a crown jewel. Fix before anything else on this sheet.",IF('4 Lattice'!$M23=0,"",IF('4 Lattice'!$L23=3,"Proven. Keep it rehearsed.","Can we kill it and prevent return?")))</f>
        <v/>
      </c>
      <c r="J84" s="1"/>
      <c r="K84" s="1"/>
    </row>
    <row r="85" customFormat="false" ht="27.75" hidden="false" customHeight="true" outlineLevel="0" collapsed="false">
      <c r="A85" s="24" t="str">
        <f aca="false">IF($F85=0,"",RANK($F85,$F$66:$F$129))</f>
        <v/>
      </c>
      <c r="B85" s="34" t="s">
        <v>728</v>
      </c>
      <c r="C85" s="17" t="s">
        <v>459</v>
      </c>
      <c r="D85" s="17" t="s">
        <v>708</v>
      </c>
      <c r="E85" s="48" t="str">
        <f aca="false">IF('4 Lattice'!$M24=0,"not in scope",'4 Lattice'!$G24)</f>
        <v>not in scope</v>
      </c>
      <c r="F85" s="45" t="n">
        <f aca="false">'4 Lattice'!$O24</f>
        <v>0</v>
      </c>
      <c r="G85" s="18" t="str">
        <f aca="false">IF('4 Lattice'!$P24=1,"BLIND","")</f>
        <v/>
      </c>
      <c r="H85" s="1"/>
      <c r="I85" s="17" t="str">
        <f aca="false">IF('4 Lattice'!$P24=1,"No response option on a crown jewel. Fix before anything else on this sheet.",IF('4 Lattice'!$M24=0,"",IF('4 Lattice'!$L24=3,"Proven. Keep it rehearsed.","Can we kill it and prevent return?")))</f>
        <v/>
      </c>
      <c r="J85" s="1"/>
      <c r="K85" s="1"/>
    </row>
    <row r="86" customFormat="false" ht="27.75" hidden="false" customHeight="true" outlineLevel="0" collapsed="false">
      <c r="A86" s="24" t="str">
        <f aca="false">IF($F86=0,"",RANK($F86,$F$66:$F$129))</f>
        <v/>
      </c>
      <c r="B86" s="34" t="s">
        <v>729</v>
      </c>
      <c r="C86" s="17" t="s">
        <v>459</v>
      </c>
      <c r="D86" s="17" t="s">
        <v>710</v>
      </c>
      <c r="E86" s="48" t="str">
        <f aca="false">IF('4 Lattice'!$M25=0,"not in scope",'4 Lattice'!$G25)</f>
        <v>not in scope</v>
      </c>
      <c r="F86" s="45" t="n">
        <f aca="false">'4 Lattice'!$O25</f>
        <v>0</v>
      </c>
      <c r="G86" s="18" t="str">
        <f aca="false">IF('4 Lattice'!$P25=1,"BLIND","")</f>
        <v/>
      </c>
      <c r="H86" s="1"/>
      <c r="I86" s="17" t="str">
        <f aca="false">IF('4 Lattice'!$P25=1,"No response option on a crown jewel. Fix before anything else on this sheet.",IF('4 Lattice'!$M25=0,"",IF('4 Lattice'!$L25=3,"Proven. Keep it rehearsed.","Can we kill it and prevent return?")))</f>
        <v/>
      </c>
      <c r="J86" s="1"/>
      <c r="K86" s="1"/>
    </row>
    <row r="87" customFormat="false" ht="27.75" hidden="false" customHeight="true" outlineLevel="0" collapsed="false">
      <c r="A87" s="24" t="str">
        <f aca="false">IF($F87=0,"",RANK($F87,$F$66:$F$129))</f>
        <v/>
      </c>
      <c r="B87" s="34" t="s">
        <v>730</v>
      </c>
      <c r="C87" s="17" t="s">
        <v>459</v>
      </c>
      <c r="D87" s="17" t="s">
        <v>712</v>
      </c>
      <c r="E87" s="48" t="str">
        <f aca="false">IF('4 Lattice'!$M26=0,"not in scope",'4 Lattice'!$G26)</f>
        <v>not in scope</v>
      </c>
      <c r="F87" s="45" t="n">
        <f aca="false">'4 Lattice'!$O26</f>
        <v>0</v>
      </c>
      <c r="G87" s="18" t="str">
        <f aca="false">IF('4 Lattice'!$P26=1,"BLIND","")</f>
        <v/>
      </c>
      <c r="H87" s="1"/>
      <c r="I87" s="17" t="str">
        <f aca="false">IF('4 Lattice'!$P26=1,"No response option on a crown jewel. Fix before anything else on this sheet.",IF('4 Lattice'!$M26=0,"",IF('4 Lattice'!$L26=3,"Proven. Keep it rehearsed.","Can we kill it and prevent return?")))</f>
        <v/>
      </c>
      <c r="J87" s="1"/>
      <c r="K87" s="1"/>
    </row>
    <row r="88" customFormat="false" ht="27.75" hidden="false" customHeight="true" outlineLevel="0" collapsed="false">
      <c r="A88" s="24" t="str">
        <f aca="false">IF($F88=0,"",RANK($F88,$F$66:$F$129))</f>
        <v/>
      </c>
      <c r="B88" s="34" t="s">
        <v>731</v>
      </c>
      <c r="C88" s="17" t="s">
        <v>459</v>
      </c>
      <c r="D88" s="17" t="s">
        <v>714</v>
      </c>
      <c r="E88" s="48" t="str">
        <f aca="false">IF('4 Lattice'!$M27=0,"not in scope",'4 Lattice'!$G27)</f>
        <v>not in scope</v>
      </c>
      <c r="F88" s="45" t="n">
        <f aca="false">'4 Lattice'!$O27</f>
        <v>0</v>
      </c>
      <c r="G88" s="18" t="str">
        <f aca="false">IF('4 Lattice'!$P27=1,"BLIND","")</f>
        <v/>
      </c>
      <c r="H88" s="1"/>
      <c r="I88" s="17" t="str">
        <f aca="false">IF('4 Lattice'!$P27=1,"No response option on a crown jewel. Fix before anything else on this sheet.",IF('4 Lattice'!$M27=0,"",IF('4 Lattice'!$L27=3,"Proven. Keep it rehearsed.","Can we kill it and prevent return?")))</f>
        <v/>
      </c>
      <c r="J88" s="1"/>
      <c r="K88" s="1"/>
    </row>
    <row r="89" customFormat="false" ht="27.75" hidden="false" customHeight="true" outlineLevel="0" collapsed="false">
      <c r="A89" s="24" t="str">
        <f aca="false">IF($F89=0,"",RANK($F89,$F$66:$F$129))</f>
        <v/>
      </c>
      <c r="B89" s="34" t="s">
        <v>732</v>
      </c>
      <c r="C89" s="17" t="s">
        <v>459</v>
      </c>
      <c r="D89" s="17" t="s">
        <v>716</v>
      </c>
      <c r="E89" s="48" t="str">
        <f aca="false">IF('4 Lattice'!$M28=0,"not in scope",'4 Lattice'!$G28)</f>
        <v>not in scope</v>
      </c>
      <c r="F89" s="45" t="n">
        <f aca="false">'4 Lattice'!$O28</f>
        <v>0</v>
      </c>
      <c r="G89" s="18" t="str">
        <f aca="false">IF('4 Lattice'!$P28=1,"BLIND","")</f>
        <v/>
      </c>
      <c r="H89" s="1"/>
      <c r="I89" s="17" t="str">
        <f aca="false">IF('4 Lattice'!$P28=1,"No response option on a crown jewel. Fix before anything else on this sheet.",IF('4 Lattice'!$M28=0,"",IF('4 Lattice'!$L28=3,"Proven. Keep it rehearsed.","Can we kill it and prevent return?")))</f>
        <v/>
      </c>
      <c r="J89" s="1"/>
      <c r="K89" s="1"/>
    </row>
    <row r="90" customFormat="false" ht="27.75" hidden="false" customHeight="true" outlineLevel="0" collapsed="false">
      <c r="A90" s="24" t="str">
        <f aca="false">IF($F90=0,"",RANK($F90,$F$66:$F$129))</f>
        <v/>
      </c>
      <c r="B90" s="34" t="s">
        <v>733</v>
      </c>
      <c r="C90" s="17" t="s">
        <v>461</v>
      </c>
      <c r="D90" s="17" t="s">
        <v>702</v>
      </c>
      <c r="E90" s="48" t="str">
        <f aca="false">IF('4 Lattice'!$M29=0,"not in scope",'4 Lattice'!$G29)</f>
        <v>not in scope</v>
      </c>
      <c r="F90" s="45" t="n">
        <f aca="false">'4 Lattice'!$O29</f>
        <v>0</v>
      </c>
      <c r="G90" s="18" t="str">
        <f aca="false">IF('4 Lattice'!$P29=1,"BLIND","")</f>
        <v/>
      </c>
      <c r="H90" s="1"/>
      <c r="I90" s="17" t="str">
        <f aca="false">IF('4 Lattice'!$P29=1,"No response option on a crown jewel. Fix before anything else on this sheet.",IF('4 Lattice'!$M29=0,"",IF('4 Lattice'!$L29=3,"Proven. Keep it rehearsed.","Can we revoke and re-trust at speed?")))</f>
        <v/>
      </c>
      <c r="J90" s="1"/>
      <c r="K90" s="1"/>
    </row>
    <row r="91" customFormat="false" ht="27.75" hidden="false" customHeight="true" outlineLevel="0" collapsed="false">
      <c r="A91" s="24" t="str">
        <f aca="false">IF($F91=0,"",RANK($F91,$F$66:$F$129))</f>
        <v/>
      </c>
      <c r="B91" s="34" t="s">
        <v>734</v>
      </c>
      <c r="C91" s="17" t="s">
        <v>461</v>
      </c>
      <c r="D91" s="17" t="s">
        <v>704</v>
      </c>
      <c r="E91" s="48" t="str">
        <f aca="false">IF('4 Lattice'!$M30=0,"not in scope",'4 Lattice'!$G30)</f>
        <v>not in scope</v>
      </c>
      <c r="F91" s="45" t="n">
        <f aca="false">'4 Lattice'!$O30</f>
        <v>0</v>
      </c>
      <c r="G91" s="18" t="str">
        <f aca="false">IF('4 Lattice'!$P30=1,"BLIND","")</f>
        <v/>
      </c>
      <c r="H91" s="1"/>
      <c r="I91" s="17" t="str">
        <f aca="false">IF('4 Lattice'!$P30=1,"No response option on a crown jewel. Fix before anything else on this sheet.",IF('4 Lattice'!$M30=0,"",IF('4 Lattice'!$L30=3,"Proven. Keep it rehearsed.","Can we revoke and re-trust at speed?")))</f>
        <v/>
      </c>
      <c r="J91" s="1"/>
      <c r="K91" s="1"/>
    </row>
    <row r="92" customFormat="false" ht="27.75" hidden="false" customHeight="true" outlineLevel="0" collapsed="false">
      <c r="A92" s="24" t="str">
        <f aca="false">IF($F92=0,"",RANK($F92,$F$66:$F$129))</f>
        <v/>
      </c>
      <c r="B92" s="34" t="s">
        <v>735</v>
      </c>
      <c r="C92" s="17" t="s">
        <v>461</v>
      </c>
      <c r="D92" s="17" t="s">
        <v>706</v>
      </c>
      <c r="E92" s="48" t="str">
        <f aca="false">IF('4 Lattice'!$M31=0,"not in scope",'4 Lattice'!$G31)</f>
        <v>not in scope</v>
      </c>
      <c r="F92" s="45" t="n">
        <f aca="false">'4 Lattice'!$O31</f>
        <v>0</v>
      </c>
      <c r="G92" s="18" t="str">
        <f aca="false">IF('4 Lattice'!$P31=1,"BLIND","")</f>
        <v/>
      </c>
      <c r="H92" s="1"/>
      <c r="I92" s="17" t="str">
        <f aca="false">IF('4 Lattice'!$P31=1,"No response option on a crown jewel. Fix before anything else on this sheet.",IF('4 Lattice'!$M31=0,"",IF('4 Lattice'!$L31=3,"Proven. Keep it rehearsed.","Can we revoke and re-trust at speed?")))</f>
        <v/>
      </c>
      <c r="J92" s="1"/>
      <c r="K92" s="1"/>
    </row>
    <row r="93" customFormat="false" ht="27.75" hidden="false" customHeight="true" outlineLevel="0" collapsed="false">
      <c r="A93" s="24" t="str">
        <f aca="false">IF($F93=0,"",RANK($F93,$F$66:$F$129))</f>
        <v/>
      </c>
      <c r="B93" s="34" t="s">
        <v>736</v>
      </c>
      <c r="C93" s="17" t="s">
        <v>461</v>
      </c>
      <c r="D93" s="17" t="s">
        <v>708</v>
      </c>
      <c r="E93" s="48" t="str">
        <f aca="false">IF('4 Lattice'!$M32=0,"not in scope",'4 Lattice'!$G32)</f>
        <v>not in scope</v>
      </c>
      <c r="F93" s="45" t="n">
        <f aca="false">'4 Lattice'!$O32</f>
        <v>0</v>
      </c>
      <c r="G93" s="18" t="str">
        <f aca="false">IF('4 Lattice'!$P32=1,"BLIND","")</f>
        <v/>
      </c>
      <c r="H93" s="1"/>
      <c r="I93" s="17" t="str">
        <f aca="false">IF('4 Lattice'!$P32=1,"No response option on a crown jewel. Fix before anything else on this sheet.",IF('4 Lattice'!$M32=0,"",IF('4 Lattice'!$L32=3,"Proven. Keep it rehearsed.","Can we revoke and re-trust at speed?")))</f>
        <v/>
      </c>
      <c r="J93" s="1"/>
      <c r="K93" s="1"/>
    </row>
    <row r="94" customFormat="false" ht="27.75" hidden="false" customHeight="true" outlineLevel="0" collapsed="false">
      <c r="A94" s="24" t="str">
        <f aca="false">IF($F94=0,"",RANK($F94,$F$66:$F$129))</f>
        <v/>
      </c>
      <c r="B94" s="34" t="s">
        <v>737</v>
      </c>
      <c r="C94" s="17" t="s">
        <v>461</v>
      </c>
      <c r="D94" s="17" t="s">
        <v>710</v>
      </c>
      <c r="E94" s="48" t="str">
        <f aca="false">IF('4 Lattice'!$M33=0,"not in scope",'4 Lattice'!$G33)</f>
        <v>not in scope</v>
      </c>
      <c r="F94" s="45" t="n">
        <f aca="false">'4 Lattice'!$O33</f>
        <v>0</v>
      </c>
      <c r="G94" s="18" t="str">
        <f aca="false">IF('4 Lattice'!$P33=1,"BLIND","")</f>
        <v/>
      </c>
      <c r="H94" s="1"/>
      <c r="I94" s="17" t="str">
        <f aca="false">IF('4 Lattice'!$P33=1,"No response option on a crown jewel. Fix before anything else on this sheet.",IF('4 Lattice'!$M33=0,"",IF('4 Lattice'!$L33=3,"Proven. Keep it rehearsed.","Can we revoke and re-trust at speed?")))</f>
        <v/>
      </c>
      <c r="J94" s="1"/>
      <c r="K94" s="1"/>
    </row>
    <row r="95" customFormat="false" ht="27.75" hidden="false" customHeight="true" outlineLevel="0" collapsed="false">
      <c r="A95" s="24" t="str">
        <f aca="false">IF($F95=0,"",RANK($F95,$F$66:$F$129))</f>
        <v/>
      </c>
      <c r="B95" s="34" t="s">
        <v>738</v>
      </c>
      <c r="C95" s="17" t="s">
        <v>461</v>
      </c>
      <c r="D95" s="17" t="s">
        <v>712</v>
      </c>
      <c r="E95" s="48" t="str">
        <f aca="false">IF('4 Lattice'!$M34=0,"not in scope",'4 Lattice'!$G34)</f>
        <v>not in scope</v>
      </c>
      <c r="F95" s="45" t="n">
        <f aca="false">'4 Lattice'!$O34</f>
        <v>0</v>
      </c>
      <c r="G95" s="18" t="str">
        <f aca="false">IF('4 Lattice'!$P34=1,"BLIND","")</f>
        <v/>
      </c>
      <c r="H95" s="1"/>
      <c r="I95" s="17" t="str">
        <f aca="false">IF('4 Lattice'!$P34=1,"No response option on a crown jewel. Fix before anything else on this sheet.",IF('4 Lattice'!$M34=0,"",IF('4 Lattice'!$L34=3,"Proven. Keep it rehearsed.","Can we revoke and re-trust at speed?")))</f>
        <v/>
      </c>
      <c r="J95" s="1"/>
      <c r="K95" s="1"/>
    </row>
    <row r="96" customFormat="false" ht="27.75" hidden="false" customHeight="true" outlineLevel="0" collapsed="false">
      <c r="A96" s="24" t="str">
        <f aca="false">IF($F96=0,"",RANK($F96,$F$66:$F$129))</f>
        <v/>
      </c>
      <c r="B96" s="34" t="s">
        <v>739</v>
      </c>
      <c r="C96" s="17" t="s">
        <v>461</v>
      </c>
      <c r="D96" s="17" t="s">
        <v>714</v>
      </c>
      <c r="E96" s="48" t="str">
        <f aca="false">IF('4 Lattice'!$M35=0,"not in scope",'4 Lattice'!$G35)</f>
        <v>not in scope</v>
      </c>
      <c r="F96" s="45" t="n">
        <f aca="false">'4 Lattice'!$O35</f>
        <v>0</v>
      </c>
      <c r="G96" s="18" t="str">
        <f aca="false">IF('4 Lattice'!$P35=1,"BLIND","")</f>
        <v/>
      </c>
      <c r="H96" s="1"/>
      <c r="I96" s="17" t="str">
        <f aca="false">IF('4 Lattice'!$P35=1,"No response option on a crown jewel. Fix before anything else on this sheet.",IF('4 Lattice'!$M35=0,"",IF('4 Lattice'!$L35=3,"Proven. Keep it rehearsed.","Can we revoke and re-trust at speed?")))</f>
        <v/>
      </c>
      <c r="J96" s="1"/>
      <c r="K96" s="1"/>
    </row>
    <row r="97" customFormat="false" ht="27.75" hidden="false" customHeight="true" outlineLevel="0" collapsed="false">
      <c r="A97" s="24" t="str">
        <f aca="false">IF($F97=0,"",RANK($F97,$F$66:$F$129))</f>
        <v/>
      </c>
      <c r="B97" s="34" t="s">
        <v>740</v>
      </c>
      <c r="C97" s="17" t="s">
        <v>461</v>
      </c>
      <c r="D97" s="17" t="s">
        <v>716</v>
      </c>
      <c r="E97" s="48" t="str">
        <f aca="false">IF('4 Lattice'!$M36=0,"not in scope",'4 Lattice'!$G36)</f>
        <v>not in scope</v>
      </c>
      <c r="F97" s="45" t="n">
        <f aca="false">'4 Lattice'!$O36</f>
        <v>0</v>
      </c>
      <c r="G97" s="18" t="str">
        <f aca="false">IF('4 Lattice'!$P36=1,"BLIND","")</f>
        <v/>
      </c>
      <c r="H97" s="1"/>
      <c r="I97" s="17" t="str">
        <f aca="false">IF('4 Lattice'!$P36=1,"No response option on a crown jewel. Fix before anything else on this sheet.",IF('4 Lattice'!$M36=0,"",IF('4 Lattice'!$L36=3,"Proven. Keep it rehearsed.","Can we revoke and re-trust at speed?")))</f>
        <v/>
      </c>
      <c r="J97" s="1"/>
      <c r="K97" s="1"/>
    </row>
    <row r="98" customFormat="false" ht="27.75" hidden="false" customHeight="true" outlineLevel="0" collapsed="false">
      <c r="A98" s="24" t="str">
        <f aca="false">IF($F98=0,"",RANK($F98,$F$66:$F$129))</f>
        <v/>
      </c>
      <c r="B98" s="34" t="s">
        <v>741</v>
      </c>
      <c r="C98" s="17" t="s">
        <v>463</v>
      </c>
      <c r="D98" s="17" t="s">
        <v>702</v>
      </c>
      <c r="E98" s="48" t="str">
        <f aca="false">IF('4 Lattice'!$M37=0,"not in scope",'4 Lattice'!$G37)</f>
        <v>not in scope</v>
      </c>
      <c r="F98" s="45" t="n">
        <f aca="false">'4 Lattice'!$O37</f>
        <v>0</v>
      </c>
      <c r="G98" s="18" t="str">
        <f aca="false">IF('4 Lattice'!$P37=1,"BLIND","")</f>
        <v/>
      </c>
      <c r="H98" s="1"/>
      <c r="I98" s="17" t="str">
        <f aca="false">IF('4 Lattice'!$P37=1,"No response option on a crown jewel. Fix before anything else on this sheet.",IF('4 Lattice'!$M37=0,"",IF('4 Lattice'!$L37=3,"Proven. Keep it rehearsed.","Can we sever the path mid-flight?")))</f>
        <v/>
      </c>
      <c r="J98" s="1"/>
      <c r="K98" s="1"/>
    </row>
    <row r="99" customFormat="false" ht="27.75" hidden="false" customHeight="true" outlineLevel="0" collapsed="false">
      <c r="A99" s="24" t="str">
        <f aca="false">IF($F99=0,"",RANK($F99,$F$66:$F$129))</f>
        <v/>
      </c>
      <c r="B99" s="34" t="s">
        <v>742</v>
      </c>
      <c r="C99" s="17" t="s">
        <v>463</v>
      </c>
      <c r="D99" s="17" t="s">
        <v>704</v>
      </c>
      <c r="E99" s="48" t="str">
        <f aca="false">IF('4 Lattice'!$M38=0,"not in scope",'4 Lattice'!$G38)</f>
        <v>not in scope</v>
      </c>
      <c r="F99" s="45" t="n">
        <f aca="false">'4 Lattice'!$O38</f>
        <v>0</v>
      </c>
      <c r="G99" s="18" t="str">
        <f aca="false">IF('4 Lattice'!$P38=1,"BLIND","")</f>
        <v/>
      </c>
      <c r="H99" s="1"/>
      <c r="I99" s="17" t="str">
        <f aca="false">IF('4 Lattice'!$P38=1,"No response option on a crown jewel. Fix before anything else on this sheet.",IF('4 Lattice'!$M38=0,"",IF('4 Lattice'!$L38=3,"Proven. Keep it rehearsed.","Can we sever the path mid-flight?")))</f>
        <v/>
      </c>
      <c r="J99" s="1"/>
      <c r="K99" s="1"/>
    </row>
    <row r="100" customFormat="false" ht="27.75" hidden="false" customHeight="true" outlineLevel="0" collapsed="false">
      <c r="A100" s="24" t="str">
        <f aca="false">IF($F100=0,"",RANK($F100,$F$66:$F$129))</f>
        <v/>
      </c>
      <c r="B100" s="34" t="s">
        <v>743</v>
      </c>
      <c r="C100" s="17" t="s">
        <v>463</v>
      </c>
      <c r="D100" s="17" t="s">
        <v>706</v>
      </c>
      <c r="E100" s="48" t="str">
        <f aca="false">IF('4 Lattice'!$M39=0,"not in scope",'4 Lattice'!$G39)</f>
        <v>not in scope</v>
      </c>
      <c r="F100" s="45" t="n">
        <f aca="false">'4 Lattice'!$O39</f>
        <v>0</v>
      </c>
      <c r="G100" s="18" t="str">
        <f aca="false">IF('4 Lattice'!$P39=1,"BLIND","")</f>
        <v/>
      </c>
      <c r="H100" s="1"/>
      <c r="I100" s="17" t="str">
        <f aca="false">IF('4 Lattice'!$P39=1,"No response option on a crown jewel. Fix before anything else on this sheet.",IF('4 Lattice'!$M39=0,"",IF('4 Lattice'!$L39=3,"Proven. Keep it rehearsed.","Can we sever the path mid-flight?")))</f>
        <v/>
      </c>
      <c r="J100" s="1"/>
      <c r="K100" s="1"/>
    </row>
    <row r="101" customFormat="false" ht="27.75" hidden="false" customHeight="true" outlineLevel="0" collapsed="false">
      <c r="A101" s="24" t="str">
        <f aca="false">IF($F101=0,"",RANK($F101,$F$66:$F$129))</f>
        <v/>
      </c>
      <c r="B101" s="34" t="s">
        <v>744</v>
      </c>
      <c r="C101" s="17" t="s">
        <v>463</v>
      </c>
      <c r="D101" s="17" t="s">
        <v>708</v>
      </c>
      <c r="E101" s="48" t="str">
        <f aca="false">IF('4 Lattice'!$M40=0,"not in scope",'4 Lattice'!$G40)</f>
        <v>not in scope</v>
      </c>
      <c r="F101" s="45" t="n">
        <f aca="false">'4 Lattice'!$O40</f>
        <v>0</v>
      </c>
      <c r="G101" s="18" t="str">
        <f aca="false">IF('4 Lattice'!$P40=1,"BLIND","")</f>
        <v/>
      </c>
      <c r="H101" s="1"/>
      <c r="I101" s="17" t="str">
        <f aca="false">IF('4 Lattice'!$P40=1,"No response option on a crown jewel. Fix before anything else on this sheet.",IF('4 Lattice'!$M40=0,"",IF('4 Lattice'!$L40=3,"Proven. Keep it rehearsed.","Can we sever the path mid-flight?")))</f>
        <v/>
      </c>
      <c r="J101" s="1"/>
      <c r="K101" s="1"/>
    </row>
    <row r="102" customFormat="false" ht="27.75" hidden="false" customHeight="true" outlineLevel="0" collapsed="false">
      <c r="A102" s="24" t="str">
        <f aca="false">IF($F102=0,"",RANK($F102,$F$66:$F$129))</f>
        <v/>
      </c>
      <c r="B102" s="34" t="s">
        <v>745</v>
      </c>
      <c r="C102" s="17" t="s">
        <v>463</v>
      </c>
      <c r="D102" s="17" t="s">
        <v>710</v>
      </c>
      <c r="E102" s="48" t="str">
        <f aca="false">IF('4 Lattice'!$M41=0,"not in scope",'4 Lattice'!$G41)</f>
        <v>not in scope</v>
      </c>
      <c r="F102" s="45" t="n">
        <f aca="false">'4 Lattice'!$O41</f>
        <v>0</v>
      </c>
      <c r="G102" s="18" t="str">
        <f aca="false">IF('4 Lattice'!$P41=1,"BLIND","")</f>
        <v/>
      </c>
      <c r="H102" s="1"/>
      <c r="I102" s="17" t="str">
        <f aca="false">IF('4 Lattice'!$P41=1,"No response option on a crown jewel. Fix before anything else on this sheet.",IF('4 Lattice'!$M41=0,"",IF('4 Lattice'!$L41=3,"Proven. Keep it rehearsed.","Can we sever the path mid-flight?")))</f>
        <v/>
      </c>
      <c r="J102" s="1"/>
      <c r="K102" s="1"/>
    </row>
    <row r="103" customFormat="false" ht="27.75" hidden="false" customHeight="true" outlineLevel="0" collapsed="false">
      <c r="A103" s="24" t="str">
        <f aca="false">IF($F103=0,"",RANK($F103,$F$66:$F$129))</f>
        <v/>
      </c>
      <c r="B103" s="34" t="s">
        <v>746</v>
      </c>
      <c r="C103" s="17" t="s">
        <v>463</v>
      </c>
      <c r="D103" s="17" t="s">
        <v>712</v>
      </c>
      <c r="E103" s="48" t="str">
        <f aca="false">IF('4 Lattice'!$M42=0,"not in scope",'4 Lattice'!$G42)</f>
        <v>not in scope</v>
      </c>
      <c r="F103" s="45" t="n">
        <f aca="false">'4 Lattice'!$O42</f>
        <v>0</v>
      </c>
      <c r="G103" s="18" t="str">
        <f aca="false">IF('4 Lattice'!$P42=1,"BLIND","")</f>
        <v/>
      </c>
      <c r="H103" s="1"/>
      <c r="I103" s="17" t="str">
        <f aca="false">IF('4 Lattice'!$P42=1,"No response option on a crown jewel. Fix before anything else on this sheet.",IF('4 Lattice'!$M42=0,"",IF('4 Lattice'!$L42=3,"Proven. Keep it rehearsed.","Can we sever the path mid-flight?")))</f>
        <v/>
      </c>
      <c r="J103" s="1"/>
      <c r="K103" s="1"/>
    </row>
    <row r="104" customFormat="false" ht="27.75" hidden="false" customHeight="true" outlineLevel="0" collapsed="false">
      <c r="A104" s="24" t="str">
        <f aca="false">IF($F104=0,"",RANK($F104,$F$66:$F$129))</f>
        <v/>
      </c>
      <c r="B104" s="34" t="s">
        <v>747</v>
      </c>
      <c r="C104" s="17" t="s">
        <v>463</v>
      </c>
      <c r="D104" s="17" t="s">
        <v>714</v>
      </c>
      <c r="E104" s="48" t="str">
        <f aca="false">IF('4 Lattice'!$M43=0,"not in scope",'4 Lattice'!$G43)</f>
        <v>not in scope</v>
      </c>
      <c r="F104" s="45" t="n">
        <f aca="false">'4 Lattice'!$O43</f>
        <v>0</v>
      </c>
      <c r="G104" s="18" t="str">
        <f aca="false">IF('4 Lattice'!$P43=1,"BLIND","")</f>
        <v/>
      </c>
      <c r="H104" s="1"/>
      <c r="I104" s="17" t="str">
        <f aca="false">IF('4 Lattice'!$P43=1,"No response option on a crown jewel. Fix before anything else on this sheet.",IF('4 Lattice'!$M43=0,"",IF('4 Lattice'!$L43=3,"Proven. Keep it rehearsed.","Can we sever the path mid-flight?")))</f>
        <v/>
      </c>
      <c r="J104" s="1"/>
      <c r="K104" s="1"/>
    </row>
    <row r="105" customFormat="false" ht="27.75" hidden="false" customHeight="true" outlineLevel="0" collapsed="false">
      <c r="A105" s="24" t="str">
        <f aca="false">IF($F105=0,"",RANK($F105,$F$66:$F$129))</f>
        <v/>
      </c>
      <c r="B105" s="34" t="s">
        <v>748</v>
      </c>
      <c r="C105" s="17" t="s">
        <v>463</v>
      </c>
      <c r="D105" s="17" t="s">
        <v>716</v>
      </c>
      <c r="E105" s="48" t="str">
        <f aca="false">IF('4 Lattice'!$M44=0,"not in scope",'4 Lattice'!$G44)</f>
        <v>not in scope</v>
      </c>
      <c r="F105" s="45" t="n">
        <f aca="false">'4 Lattice'!$O44</f>
        <v>0</v>
      </c>
      <c r="G105" s="18" t="str">
        <f aca="false">IF('4 Lattice'!$P44=1,"BLIND","")</f>
        <v/>
      </c>
      <c r="H105" s="1"/>
      <c r="I105" s="17" t="str">
        <f aca="false">IF('4 Lattice'!$P44=1,"No response option on a crown jewel. Fix before anything else on this sheet.",IF('4 Lattice'!$M44=0,"",IF('4 Lattice'!$L44=3,"Proven. Keep it rehearsed.","Can we sever the path mid-flight?")))</f>
        <v/>
      </c>
      <c r="J105" s="1"/>
      <c r="K105" s="1"/>
    </row>
    <row r="106" customFormat="false" ht="27.75" hidden="false" customHeight="true" outlineLevel="0" collapsed="false">
      <c r="A106" s="24" t="str">
        <f aca="false">IF($F106=0,"",RANK($F106,$F$66:$F$129))</f>
        <v/>
      </c>
      <c r="B106" s="34" t="s">
        <v>749</v>
      </c>
      <c r="C106" s="17" t="s">
        <v>465</v>
      </c>
      <c r="D106" s="17" t="s">
        <v>702</v>
      </c>
      <c r="E106" s="48" t="str">
        <f aca="false">IF('4 Lattice'!$M45=0,"not in scope",'4 Lattice'!$G45)</f>
        <v>not in scope</v>
      </c>
      <c r="F106" s="45" t="n">
        <f aca="false">'4 Lattice'!$O45</f>
        <v>0</v>
      </c>
      <c r="G106" s="18" t="str">
        <f aca="false">IF('4 Lattice'!$P45=1,"BLIND","")</f>
        <v/>
      </c>
      <c r="H106" s="1"/>
      <c r="I106" s="17" t="str">
        <f aca="false">IF('4 Lattice'!$P45=1,"No response option on a crown jewel. Fix before anything else on this sheet.",IF('4 Lattice'!$M45=0,"",IF('4 Lattice'!$L45=3,"Proven. Keep it rehearsed.","Can we interrupt before the data moves?")))</f>
        <v/>
      </c>
      <c r="J106" s="1"/>
      <c r="K106" s="1"/>
    </row>
    <row r="107" customFormat="false" ht="27.75" hidden="false" customHeight="true" outlineLevel="0" collapsed="false">
      <c r="A107" s="24" t="str">
        <f aca="false">IF($F107=0,"",RANK($F107,$F$66:$F$129))</f>
        <v/>
      </c>
      <c r="B107" s="34" t="s">
        <v>750</v>
      </c>
      <c r="C107" s="17" t="s">
        <v>465</v>
      </c>
      <c r="D107" s="17" t="s">
        <v>704</v>
      </c>
      <c r="E107" s="48" t="str">
        <f aca="false">IF('4 Lattice'!$M46=0,"not in scope",'4 Lattice'!$G46)</f>
        <v>not in scope</v>
      </c>
      <c r="F107" s="45" t="n">
        <f aca="false">'4 Lattice'!$O46</f>
        <v>0</v>
      </c>
      <c r="G107" s="18" t="str">
        <f aca="false">IF('4 Lattice'!$P46=1,"BLIND","")</f>
        <v/>
      </c>
      <c r="H107" s="1"/>
      <c r="I107" s="17" t="str">
        <f aca="false">IF('4 Lattice'!$P46=1,"No response option on a crown jewel. Fix before anything else on this sheet.",IF('4 Lattice'!$M46=0,"",IF('4 Lattice'!$L46=3,"Proven. Keep it rehearsed.","Can we interrupt before the data moves?")))</f>
        <v/>
      </c>
      <c r="J107" s="1"/>
      <c r="K107" s="1"/>
    </row>
    <row r="108" customFormat="false" ht="27.75" hidden="false" customHeight="true" outlineLevel="0" collapsed="false">
      <c r="A108" s="24" t="str">
        <f aca="false">IF($F108=0,"",RANK($F108,$F$66:$F$129))</f>
        <v/>
      </c>
      <c r="B108" s="34" t="s">
        <v>751</v>
      </c>
      <c r="C108" s="17" t="s">
        <v>465</v>
      </c>
      <c r="D108" s="17" t="s">
        <v>706</v>
      </c>
      <c r="E108" s="48" t="str">
        <f aca="false">IF('4 Lattice'!$M47=0,"not in scope",'4 Lattice'!$G47)</f>
        <v>not in scope</v>
      </c>
      <c r="F108" s="45" t="n">
        <f aca="false">'4 Lattice'!$O47</f>
        <v>0</v>
      </c>
      <c r="G108" s="18" t="str">
        <f aca="false">IF('4 Lattice'!$P47=1,"BLIND","")</f>
        <v/>
      </c>
      <c r="H108" s="1"/>
      <c r="I108" s="17" t="str">
        <f aca="false">IF('4 Lattice'!$P47=1,"No response option on a crown jewel. Fix before anything else on this sheet.",IF('4 Lattice'!$M47=0,"",IF('4 Lattice'!$L47=3,"Proven. Keep it rehearsed.","Can we interrupt before the data moves?")))</f>
        <v/>
      </c>
      <c r="J108" s="1"/>
      <c r="K108" s="1"/>
    </row>
    <row r="109" customFormat="false" ht="27.75" hidden="false" customHeight="true" outlineLevel="0" collapsed="false">
      <c r="A109" s="24" t="str">
        <f aca="false">IF($F109=0,"",RANK($F109,$F$66:$F$129))</f>
        <v/>
      </c>
      <c r="B109" s="34" t="s">
        <v>752</v>
      </c>
      <c r="C109" s="17" t="s">
        <v>465</v>
      </c>
      <c r="D109" s="17" t="s">
        <v>708</v>
      </c>
      <c r="E109" s="48" t="str">
        <f aca="false">IF('4 Lattice'!$M48=0,"not in scope",'4 Lattice'!$G48)</f>
        <v>not in scope</v>
      </c>
      <c r="F109" s="45" t="n">
        <f aca="false">'4 Lattice'!$O48</f>
        <v>0</v>
      </c>
      <c r="G109" s="18" t="str">
        <f aca="false">IF('4 Lattice'!$P48=1,"BLIND","")</f>
        <v/>
      </c>
      <c r="H109" s="1"/>
      <c r="I109" s="17" t="str">
        <f aca="false">IF('4 Lattice'!$P48=1,"No response option on a crown jewel. Fix before anything else on this sheet.",IF('4 Lattice'!$M48=0,"",IF('4 Lattice'!$L48=3,"Proven. Keep it rehearsed.","Can we interrupt before the data moves?")))</f>
        <v/>
      </c>
      <c r="J109" s="1"/>
      <c r="K109" s="1"/>
    </row>
    <row r="110" customFormat="false" ht="27.75" hidden="false" customHeight="true" outlineLevel="0" collapsed="false">
      <c r="A110" s="24" t="str">
        <f aca="false">IF($F110=0,"",RANK($F110,$F$66:$F$129))</f>
        <v/>
      </c>
      <c r="B110" s="34" t="s">
        <v>753</v>
      </c>
      <c r="C110" s="17" t="s">
        <v>465</v>
      </c>
      <c r="D110" s="17" t="s">
        <v>710</v>
      </c>
      <c r="E110" s="48" t="str">
        <f aca="false">IF('4 Lattice'!$M49=0,"not in scope",'4 Lattice'!$G49)</f>
        <v>not in scope</v>
      </c>
      <c r="F110" s="45" t="n">
        <f aca="false">'4 Lattice'!$O49</f>
        <v>0</v>
      </c>
      <c r="G110" s="18" t="str">
        <f aca="false">IF('4 Lattice'!$P49=1,"BLIND","")</f>
        <v/>
      </c>
      <c r="H110" s="1"/>
      <c r="I110" s="17" t="str">
        <f aca="false">IF('4 Lattice'!$P49=1,"No response option on a crown jewel. Fix before anything else on this sheet.",IF('4 Lattice'!$M49=0,"",IF('4 Lattice'!$L49=3,"Proven. Keep it rehearsed.","Can we interrupt before the data moves?")))</f>
        <v/>
      </c>
      <c r="J110" s="1"/>
      <c r="K110" s="1"/>
    </row>
    <row r="111" customFormat="false" ht="27.75" hidden="false" customHeight="true" outlineLevel="0" collapsed="false">
      <c r="A111" s="24" t="str">
        <f aca="false">IF($F111=0,"",RANK($F111,$F$66:$F$129))</f>
        <v/>
      </c>
      <c r="B111" s="34" t="s">
        <v>754</v>
      </c>
      <c r="C111" s="17" t="s">
        <v>465</v>
      </c>
      <c r="D111" s="17" t="s">
        <v>712</v>
      </c>
      <c r="E111" s="48" t="str">
        <f aca="false">IF('4 Lattice'!$M50=0,"not in scope",'4 Lattice'!$G50)</f>
        <v>not in scope</v>
      </c>
      <c r="F111" s="45" t="n">
        <f aca="false">'4 Lattice'!$O50</f>
        <v>0</v>
      </c>
      <c r="G111" s="18" t="str">
        <f aca="false">IF('4 Lattice'!$P50=1,"BLIND","")</f>
        <v/>
      </c>
      <c r="H111" s="1"/>
      <c r="I111" s="17" t="str">
        <f aca="false">IF('4 Lattice'!$P50=1,"No response option on a crown jewel. Fix before anything else on this sheet.",IF('4 Lattice'!$M50=0,"",IF('4 Lattice'!$L50=3,"Proven. Keep it rehearsed.","Can we interrupt before the data moves?")))</f>
        <v/>
      </c>
      <c r="J111" s="1"/>
      <c r="K111" s="1"/>
    </row>
    <row r="112" customFormat="false" ht="27.75" hidden="false" customHeight="true" outlineLevel="0" collapsed="false">
      <c r="A112" s="24" t="str">
        <f aca="false">IF($F112=0,"",RANK($F112,$F$66:$F$129))</f>
        <v/>
      </c>
      <c r="B112" s="34" t="s">
        <v>755</v>
      </c>
      <c r="C112" s="17" t="s">
        <v>465</v>
      </c>
      <c r="D112" s="17" t="s">
        <v>714</v>
      </c>
      <c r="E112" s="48" t="str">
        <f aca="false">IF('4 Lattice'!$M51=0,"not in scope",'4 Lattice'!$G51)</f>
        <v>not in scope</v>
      </c>
      <c r="F112" s="45" t="n">
        <f aca="false">'4 Lattice'!$O51</f>
        <v>0</v>
      </c>
      <c r="G112" s="18" t="str">
        <f aca="false">IF('4 Lattice'!$P51=1,"BLIND","")</f>
        <v/>
      </c>
      <c r="H112" s="1"/>
      <c r="I112" s="17" t="str">
        <f aca="false">IF('4 Lattice'!$P51=1,"No response option on a crown jewel. Fix before anything else on this sheet.",IF('4 Lattice'!$M51=0,"",IF('4 Lattice'!$L51=3,"Proven. Keep it rehearsed.","Can we interrupt before the data moves?")))</f>
        <v/>
      </c>
      <c r="J112" s="1"/>
      <c r="K112" s="1"/>
    </row>
    <row r="113" customFormat="false" ht="27.75" hidden="false" customHeight="true" outlineLevel="0" collapsed="false">
      <c r="A113" s="24" t="str">
        <f aca="false">IF($F113=0,"",RANK($F113,$F$66:$F$129))</f>
        <v/>
      </c>
      <c r="B113" s="34" t="s">
        <v>756</v>
      </c>
      <c r="C113" s="17" t="s">
        <v>465</v>
      </c>
      <c r="D113" s="17" t="s">
        <v>716</v>
      </c>
      <c r="E113" s="48" t="str">
        <f aca="false">IF('4 Lattice'!$M52=0,"not in scope",'4 Lattice'!$G52)</f>
        <v>not in scope</v>
      </c>
      <c r="F113" s="45" t="n">
        <f aca="false">'4 Lattice'!$O52</f>
        <v>0</v>
      </c>
      <c r="G113" s="18" t="str">
        <f aca="false">IF('4 Lattice'!$P52=1,"BLIND","")</f>
        <v/>
      </c>
      <c r="H113" s="1"/>
      <c r="I113" s="17" t="str">
        <f aca="false">IF('4 Lattice'!$P52=1,"No response option on a crown jewel. Fix before anything else on this sheet.",IF('4 Lattice'!$M52=0,"",IF('4 Lattice'!$L52=3,"Proven. Keep it rehearsed.","Can we interrupt before the data moves?")))</f>
        <v/>
      </c>
      <c r="J113" s="1"/>
      <c r="K113" s="1"/>
    </row>
    <row r="114" customFormat="false" ht="27.75" hidden="false" customHeight="true" outlineLevel="0" collapsed="false">
      <c r="A114" s="24" t="str">
        <f aca="false">IF($F114=0,"",RANK($F114,$F$66:$F$129))</f>
        <v/>
      </c>
      <c r="B114" s="34" t="s">
        <v>757</v>
      </c>
      <c r="C114" s="17" t="s">
        <v>467</v>
      </c>
      <c r="D114" s="17" t="s">
        <v>702</v>
      </c>
      <c r="E114" s="48" t="str">
        <f aca="false">IF('4 Lattice'!$M53=0,"not in scope",'4 Lattice'!$G53)</f>
        <v>not in scope</v>
      </c>
      <c r="F114" s="45" t="n">
        <f aca="false">'4 Lattice'!$O53</f>
        <v>0</v>
      </c>
      <c r="G114" s="18" t="str">
        <f aca="false">IF('4 Lattice'!$P53=1,"BLIND","")</f>
        <v/>
      </c>
      <c r="H114" s="1"/>
      <c r="I114" s="17" t="str">
        <f aca="false">IF('4 Lattice'!$P53=1,"No response option on a crown jewel. Fix before anything else on this sheet.",IF('4 Lattice'!$M53=0,"",IF('4 Lattice'!$L53=3,"Proven. Keep it rehearsed.","Can we block the egress and the channel?")))</f>
        <v/>
      </c>
      <c r="J114" s="1"/>
      <c r="K114" s="1"/>
    </row>
    <row r="115" customFormat="false" ht="27.75" hidden="false" customHeight="true" outlineLevel="0" collapsed="false">
      <c r="A115" s="24" t="str">
        <f aca="false">IF($F115=0,"",RANK($F115,$F$66:$F$129))</f>
        <v/>
      </c>
      <c r="B115" s="34" t="s">
        <v>758</v>
      </c>
      <c r="C115" s="17" t="s">
        <v>467</v>
      </c>
      <c r="D115" s="17" t="s">
        <v>704</v>
      </c>
      <c r="E115" s="48" t="str">
        <f aca="false">IF('4 Lattice'!$M54=0,"not in scope",'4 Lattice'!$G54)</f>
        <v>not in scope</v>
      </c>
      <c r="F115" s="45" t="n">
        <f aca="false">'4 Lattice'!$O54</f>
        <v>0</v>
      </c>
      <c r="G115" s="18" t="str">
        <f aca="false">IF('4 Lattice'!$P54=1,"BLIND","")</f>
        <v/>
      </c>
      <c r="H115" s="1"/>
      <c r="I115" s="17" t="str">
        <f aca="false">IF('4 Lattice'!$P54=1,"No response option on a crown jewel. Fix before anything else on this sheet.",IF('4 Lattice'!$M54=0,"",IF('4 Lattice'!$L54=3,"Proven. Keep it rehearsed.","Can we block the egress and the channel?")))</f>
        <v/>
      </c>
      <c r="J115" s="1"/>
      <c r="K115" s="1"/>
    </row>
    <row r="116" customFormat="false" ht="27.75" hidden="false" customHeight="true" outlineLevel="0" collapsed="false">
      <c r="A116" s="24" t="str">
        <f aca="false">IF($F116=0,"",RANK($F116,$F$66:$F$129))</f>
        <v/>
      </c>
      <c r="B116" s="34" t="s">
        <v>759</v>
      </c>
      <c r="C116" s="17" t="s">
        <v>467</v>
      </c>
      <c r="D116" s="17" t="s">
        <v>706</v>
      </c>
      <c r="E116" s="48" t="str">
        <f aca="false">IF('4 Lattice'!$M55=0,"not in scope",'4 Lattice'!$G55)</f>
        <v>not in scope</v>
      </c>
      <c r="F116" s="45" t="n">
        <f aca="false">'4 Lattice'!$O55</f>
        <v>0</v>
      </c>
      <c r="G116" s="18" t="str">
        <f aca="false">IF('4 Lattice'!$P55=1,"BLIND","")</f>
        <v/>
      </c>
      <c r="H116" s="1"/>
      <c r="I116" s="17" t="str">
        <f aca="false">IF('4 Lattice'!$P55=1,"No response option on a crown jewel. Fix before anything else on this sheet.",IF('4 Lattice'!$M55=0,"",IF('4 Lattice'!$L55=3,"Proven. Keep it rehearsed.","Can we block the egress and the channel?")))</f>
        <v/>
      </c>
      <c r="J116" s="1"/>
      <c r="K116" s="1"/>
    </row>
    <row r="117" customFormat="false" ht="27.75" hidden="false" customHeight="true" outlineLevel="0" collapsed="false">
      <c r="A117" s="24" t="str">
        <f aca="false">IF($F117=0,"",RANK($F117,$F$66:$F$129))</f>
        <v/>
      </c>
      <c r="B117" s="34" t="s">
        <v>760</v>
      </c>
      <c r="C117" s="17" t="s">
        <v>467</v>
      </c>
      <c r="D117" s="17" t="s">
        <v>708</v>
      </c>
      <c r="E117" s="48" t="str">
        <f aca="false">IF('4 Lattice'!$M56=0,"not in scope",'4 Lattice'!$G56)</f>
        <v>not in scope</v>
      </c>
      <c r="F117" s="45" t="n">
        <f aca="false">'4 Lattice'!$O56</f>
        <v>0</v>
      </c>
      <c r="G117" s="18" t="str">
        <f aca="false">IF('4 Lattice'!$P56=1,"BLIND","")</f>
        <v/>
      </c>
      <c r="H117" s="1"/>
      <c r="I117" s="17" t="str">
        <f aca="false">IF('4 Lattice'!$P56=1,"No response option on a crown jewel. Fix before anything else on this sheet.",IF('4 Lattice'!$M56=0,"",IF('4 Lattice'!$L56=3,"Proven. Keep it rehearsed.","Can we block the egress and the channel?")))</f>
        <v/>
      </c>
      <c r="J117" s="1"/>
      <c r="K117" s="1"/>
    </row>
    <row r="118" customFormat="false" ht="27.75" hidden="false" customHeight="true" outlineLevel="0" collapsed="false">
      <c r="A118" s="24" t="str">
        <f aca="false">IF($F118=0,"",RANK($F118,$F$66:$F$129))</f>
        <v/>
      </c>
      <c r="B118" s="34" t="s">
        <v>761</v>
      </c>
      <c r="C118" s="17" t="s">
        <v>467</v>
      </c>
      <c r="D118" s="17" t="s">
        <v>710</v>
      </c>
      <c r="E118" s="48" t="str">
        <f aca="false">IF('4 Lattice'!$M57=0,"not in scope",'4 Lattice'!$G57)</f>
        <v>not in scope</v>
      </c>
      <c r="F118" s="45" t="n">
        <f aca="false">'4 Lattice'!$O57</f>
        <v>0</v>
      </c>
      <c r="G118" s="18" t="str">
        <f aca="false">IF('4 Lattice'!$P57=1,"BLIND","")</f>
        <v/>
      </c>
      <c r="H118" s="1"/>
      <c r="I118" s="17" t="str">
        <f aca="false">IF('4 Lattice'!$P57=1,"No response option on a crown jewel. Fix before anything else on this sheet.",IF('4 Lattice'!$M57=0,"",IF('4 Lattice'!$L57=3,"Proven. Keep it rehearsed.","Can we block the egress and the channel?")))</f>
        <v/>
      </c>
      <c r="J118" s="1"/>
      <c r="K118" s="1"/>
    </row>
    <row r="119" customFormat="false" ht="27.75" hidden="false" customHeight="true" outlineLevel="0" collapsed="false">
      <c r="A119" s="24" t="str">
        <f aca="false">IF($F119=0,"",RANK($F119,$F$66:$F$129))</f>
        <v/>
      </c>
      <c r="B119" s="34" t="s">
        <v>762</v>
      </c>
      <c r="C119" s="17" t="s">
        <v>467</v>
      </c>
      <c r="D119" s="17" t="s">
        <v>712</v>
      </c>
      <c r="E119" s="48" t="str">
        <f aca="false">IF('4 Lattice'!$M58=0,"not in scope",'4 Lattice'!$G58)</f>
        <v>not in scope</v>
      </c>
      <c r="F119" s="45" t="n">
        <f aca="false">'4 Lattice'!$O58</f>
        <v>0</v>
      </c>
      <c r="G119" s="18" t="str">
        <f aca="false">IF('4 Lattice'!$P58=1,"BLIND","")</f>
        <v/>
      </c>
      <c r="H119" s="1"/>
      <c r="I119" s="17" t="str">
        <f aca="false">IF('4 Lattice'!$P58=1,"No response option on a crown jewel. Fix before anything else on this sheet.",IF('4 Lattice'!$M58=0,"",IF('4 Lattice'!$L58=3,"Proven. Keep it rehearsed.","Can we block the egress and the channel?")))</f>
        <v/>
      </c>
      <c r="J119" s="1"/>
      <c r="K119" s="1"/>
    </row>
    <row r="120" customFormat="false" ht="27.75" hidden="false" customHeight="true" outlineLevel="0" collapsed="false">
      <c r="A120" s="24" t="str">
        <f aca="false">IF($F120=0,"",RANK($F120,$F$66:$F$129))</f>
        <v/>
      </c>
      <c r="B120" s="34" t="s">
        <v>763</v>
      </c>
      <c r="C120" s="17" t="s">
        <v>467</v>
      </c>
      <c r="D120" s="17" t="s">
        <v>714</v>
      </c>
      <c r="E120" s="48" t="str">
        <f aca="false">IF('4 Lattice'!$M59=0,"not in scope",'4 Lattice'!$G59)</f>
        <v>not in scope</v>
      </c>
      <c r="F120" s="45" t="n">
        <f aca="false">'4 Lattice'!$O59</f>
        <v>0</v>
      </c>
      <c r="G120" s="18" t="str">
        <f aca="false">IF('4 Lattice'!$P59=1,"BLIND","")</f>
        <v/>
      </c>
      <c r="H120" s="1"/>
      <c r="I120" s="17" t="str">
        <f aca="false">IF('4 Lattice'!$P59=1,"No response option on a crown jewel. Fix before anything else on this sheet.",IF('4 Lattice'!$M59=0,"",IF('4 Lattice'!$L59=3,"Proven. Keep it rehearsed.","Can we block the egress and the channel?")))</f>
        <v/>
      </c>
      <c r="J120" s="1"/>
      <c r="K120" s="1"/>
    </row>
    <row r="121" customFormat="false" ht="27.75" hidden="false" customHeight="true" outlineLevel="0" collapsed="false">
      <c r="A121" s="24" t="str">
        <f aca="false">IF($F121=0,"",RANK($F121,$F$66:$F$129))</f>
        <v/>
      </c>
      <c r="B121" s="34" t="s">
        <v>764</v>
      </c>
      <c r="C121" s="17" t="s">
        <v>467</v>
      </c>
      <c r="D121" s="17" t="s">
        <v>716</v>
      </c>
      <c r="E121" s="48" t="str">
        <f aca="false">IF('4 Lattice'!$M60=0,"not in scope",'4 Lattice'!$G60)</f>
        <v>not in scope</v>
      </c>
      <c r="F121" s="45" t="n">
        <f aca="false">'4 Lattice'!$O60</f>
        <v>0</v>
      </c>
      <c r="G121" s="18" t="str">
        <f aca="false">IF('4 Lattice'!$P60=1,"BLIND","")</f>
        <v/>
      </c>
      <c r="H121" s="1"/>
      <c r="I121" s="17" t="str">
        <f aca="false">IF('4 Lattice'!$P60=1,"No response option on a crown jewel. Fix before anything else on this sheet.",IF('4 Lattice'!$M60=0,"",IF('4 Lattice'!$L60=3,"Proven. Keep it rehearsed.","Can we block the egress and the channel?")))</f>
        <v/>
      </c>
      <c r="J121" s="1"/>
      <c r="K121" s="1"/>
    </row>
    <row r="122" customFormat="false" ht="27.75" hidden="false" customHeight="true" outlineLevel="0" collapsed="false">
      <c r="A122" s="24" t="str">
        <f aca="false">IF($F122=0,"",RANK($F122,$F$66:$F$129))</f>
        <v/>
      </c>
      <c r="B122" s="34" t="s">
        <v>765</v>
      </c>
      <c r="C122" s="17" t="s">
        <v>469</v>
      </c>
      <c r="D122" s="17" t="s">
        <v>702</v>
      </c>
      <c r="E122" s="48" t="str">
        <f aca="false">IF('4 Lattice'!$M61=0,"not in scope",'4 Lattice'!$G61)</f>
        <v>not in scope</v>
      </c>
      <c r="F122" s="45" t="n">
        <f aca="false">'4 Lattice'!$O61</f>
        <v>0</v>
      </c>
      <c r="G122" s="18" t="str">
        <f aca="false">IF('4 Lattice'!$P61=1,"BLIND","")</f>
        <v/>
      </c>
      <c r="H122" s="1"/>
      <c r="I122" s="17" t="str">
        <f aca="false">IF('4 Lattice'!$P61=1,"No response option on a crown jewel. Fix before anything else on this sheet.",IF('4 Lattice'!$M61=0,"",IF('4 Lattice'!$L61=3,"Proven. Keep it rehearsed.","Can we limit, reverse and restore?")))</f>
        <v/>
      </c>
      <c r="J122" s="1"/>
      <c r="K122" s="1"/>
    </row>
    <row r="123" customFormat="false" ht="27.75" hidden="false" customHeight="true" outlineLevel="0" collapsed="false">
      <c r="A123" s="24" t="str">
        <f aca="false">IF($F123=0,"",RANK($F123,$F$66:$F$129))</f>
        <v/>
      </c>
      <c r="B123" s="34" t="s">
        <v>766</v>
      </c>
      <c r="C123" s="17" t="s">
        <v>469</v>
      </c>
      <c r="D123" s="17" t="s">
        <v>704</v>
      </c>
      <c r="E123" s="48" t="str">
        <f aca="false">IF('4 Lattice'!$M62=0,"not in scope",'4 Lattice'!$G62)</f>
        <v>not in scope</v>
      </c>
      <c r="F123" s="45" t="n">
        <f aca="false">'4 Lattice'!$O62</f>
        <v>0</v>
      </c>
      <c r="G123" s="18" t="str">
        <f aca="false">IF('4 Lattice'!$P62=1,"BLIND","")</f>
        <v/>
      </c>
      <c r="H123" s="1"/>
      <c r="I123" s="17" t="str">
        <f aca="false">IF('4 Lattice'!$P62=1,"No response option on a crown jewel. Fix before anything else on this sheet.",IF('4 Lattice'!$M62=0,"",IF('4 Lattice'!$L62=3,"Proven. Keep it rehearsed.","Can we limit, reverse and restore?")))</f>
        <v/>
      </c>
      <c r="J123" s="1"/>
      <c r="K123" s="1"/>
    </row>
    <row r="124" customFormat="false" ht="27.75" hidden="false" customHeight="true" outlineLevel="0" collapsed="false">
      <c r="A124" s="24" t="str">
        <f aca="false">IF($F124=0,"",RANK($F124,$F$66:$F$129))</f>
        <v/>
      </c>
      <c r="B124" s="34" t="s">
        <v>767</v>
      </c>
      <c r="C124" s="17" t="s">
        <v>469</v>
      </c>
      <c r="D124" s="17" t="s">
        <v>706</v>
      </c>
      <c r="E124" s="48" t="str">
        <f aca="false">IF('4 Lattice'!$M63=0,"not in scope",'4 Lattice'!$G63)</f>
        <v>not in scope</v>
      </c>
      <c r="F124" s="45" t="n">
        <f aca="false">'4 Lattice'!$O63</f>
        <v>0</v>
      </c>
      <c r="G124" s="18" t="str">
        <f aca="false">IF('4 Lattice'!$P63=1,"BLIND","")</f>
        <v/>
      </c>
      <c r="H124" s="1"/>
      <c r="I124" s="17" t="str">
        <f aca="false">IF('4 Lattice'!$P63=1,"No response option on a crown jewel. Fix before anything else on this sheet.",IF('4 Lattice'!$M63=0,"",IF('4 Lattice'!$L63=3,"Proven. Keep it rehearsed.","Can we limit, reverse and restore?")))</f>
        <v/>
      </c>
      <c r="J124" s="1"/>
      <c r="K124" s="1"/>
    </row>
    <row r="125" customFormat="false" ht="27.75" hidden="false" customHeight="true" outlineLevel="0" collapsed="false">
      <c r="A125" s="24" t="str">
        <f aca="false">IF($F125=0,"",RANK($F125,$F$66:$F$129))</f>
        <v/>
      </c>
      <c r="B125" s="34" t="s">
        <v>768</v>
      </c>
      <c r="C125" s="17" t="s">
        <v>469</v>
      </c>
      <c r="D125" s="17" t="s">
        <v>708</v>
      </c>
      <c r="E125" s="48" t="str">
        <f aca="false">IF('4 Lattice'!$M64=0,"not in scope",'4 Lattice'!$G64)</f>
        <v>not in scope</v>
      </c>
      <c r="F125" s="45" t="n">
        <f aca="false">'4 Lattice'!$O64</f>
        <v>0</v>
      </c>
      <c r="G125" s="18" t="str">
        <f aca="false">IF('4 Lattice'!$P64=1,"BLIND","")</f>
        <v/>
      </c>
      <c r="H125" s="1"/>
      <c r="I125" s="17" t="str">
        <f aca="false">IF('4 Lattice'!$P64=1,"No response option on a crown jewel. Fix before anything else on this sheet.",IF('4 Lattice'!$M64=0,"",IF('4 Lattice'!$L64=3,"Proven. Keep it rehearsed.","Can we limit, reverse and restore?")))</f>
        <v/>
      </c>
      <c r="J125" s="1"/>
      <c r="K125" s="1"/>
    </row>
    <row r="126" customFormat="false" ht="27.75" hidden="false" customHeight="true" outlineLevel="0" collapsed="false">
      <c r="A126" s="24" t="str">
        <f aca="false">IF($F126=0,"",RANK($F126,$F$66:$F$129))</f>
        <v/>
      </c>
      <c r="B126" s="34" t="s">
        <v>769</v>
      </c>
      <c r="C126" s="17" t="s">
        <v>469</v>
      </c>
      <c r="D126" s="17" t="s">
        <v>710</v>
      </c>
      <c r="E126" s="48" t="str">
        <f aca="false">IF('4 Lattice'!$M65=0,"not in scope",'4 Lattice'!$G65)</f>
        <v>not in scope</v>
      </c>
      <c r="F126" s="45" t="n">
        <f aca="false">'4 Lattice'!$O65</f>
        <v>0</v>
      </c>
      <c r="G126" s="18" t="str">
        <f aca="false">IF('4 Lattice'!$P65=1,"BLIND","")</f>
        <v/>
      </c>
      <c r="H126" s="1"/>
      <c r="I126" s="17" t="str">
        <f aca="false">IF('4 Lattice'!$P65=1,"No response option on a crown jewel. Fix before anything else on this sheet.",IF('4 Lattice'!$M65=0,"",IF('4 Lattice'!$L65=3,"Proven. Keep it rehearsed.","Can we limit, reverse and restore?")))</f>
        <v/>
      </c>
      <c r="J126" s="1"/>
      <c r="K126" s="1"/>
    </row>
    <row r="127" customFormat="false" ht="27.75" hidden="false" customHeight="true" outlineLevel="0" collapsed="false">
      <c r="A127" s="24" t="str">
        <f aca="false">IF($F127=0,"",RANK($F127,$F$66:$F$129))</f>
        <v/>
      </c>
      <c r="B127" s="34" t="s">
        <v>770</v>
      </c>
      <c r="C127" s="17" t="s">
        <v>469</v>
      </c>
      <c r="D127" s="17" t="s">
        <v>712</v>
      </c>
      <c r="E127" s="48" t="str">
        <f aca="false">IF('4 Lattice'!$M66=0,"not in scope",'4 Lattice'!$G66)</f>
        <v>not in scope</v>
      </c>
      <c r="F127" s="45" t="n">
        <f aca="false">'4 Lattice'!$O66</f>
        <v>0</v>
      </c>
      <c r="G127" s="18" t="str">
        <f aca="false">IF('4 Lattice'!$P66=1,"BLIND","")</f>
        <v/>
      </c>
      <c r="H127" s="1"/>
      <c r="I127" s="17" t="str">
        <f aca="false">IF('4 Lattice'!$P66=1,"No response option on a crown jewel. Fix before anything else on this sheet.",IF('4 Lattice'!$M66=0,"",IF('4 Lattice'!$L66=3,"Proven. Keep it rehearsed.","Can we limit, reverse and restore?")))</f>
        <v/>
      </c>
      <c r="J127" s="1"/>
      <c r="K127" s="1"/>
    </row>
    <row r="128" customFormat="false" ht="27.75" hidden="false" customHeight="true" outlineLevel="0" collapsed="false">
      <c r="A128" s="24" t="str">
        <f aca="false">IF($F128=0,"",RANK($F128,$F$66:$F$129))</f>
        <v/>
      </c>
      <c r="B128" s="34" t="s">
        <v>771</v>
      </c>
      <c r="C128" s="17" t="s">
        <v>469</v>
      </c>
      <c r="D128" s="17" t="s">
        <v>714</v>
      </c>
      <c r="E128" s="48" t="str">
        <f aca="false">IF('4 Lattice'!$M67=0,"not in scope",'4 Lattice'!$G67)</f>
        <v>not in scope</v>
      </c>
      <c r="F128" s="45" t="n">
        <f aca="false">'4 Lattice'!$O67</f>
        <v>0</v>
      </c>
      <c r="G128" s="18" t="str">
        <f aca="false">IF('4 Lattice'!$P67=1,"BLIND","")</f>
        <v/>
      </c>
      <c r="H128" s="1"/>
      <c r="I128" s="17" t="str">
        <f aca="false">IF('4 Lattice'!$P67=1,"No response option on a crown jewel. Fix before anything else on this sheet.",IF('4 Lattice'!$M67=0,"",IF('4 Lattice'!$L67=3,"Proven. Keep it rehearsed.","Can we limit, reverse and restore?")))</f>
        <v/>
      </c>
      <c r="J128" s="1"/>
      <c r="K128" s="1"/>
    </row>
    <row r="129" customFormat="false" ht="27.75" hidden="false" customHeight="true" outlineLevel="0" collapsed="false">
      <c r="A129" s="24" t="str">
        <f aca="false">IF($F129=0,"",RANK($F129,$F$66:$F$129))</f>
        <v/>
      </c>
      <c r="B129" s="34" t="s">
        <v>772</v>
      </c>
      <c r="C129" s="17" t="s">
        <v>469</v>
      </c>
      <c r="D129" s="17" t="s">
        <v>716</v>
      </c>
      <c r="E129" s="48" t="str">
        <f aca="false">IF('4 Lattice'!$M68=0,"not in scope",'4 Lattice'!$G68)</f>
        <v>not in scope</v>
      </c>
      <c r="F129" s="45" t="n">
        <f aca="false">'4 Lattice'!$O68</f>
        <v>0</v>
      </c>
      <c r="G129" s="18" t="str">
        <f aca="false">IF('4 Lattice'!$P68=1,"BLIND","")</f>
        <v/>
      </c>
      <c r="H129" s="1"/>
      <c r="I129" s="17" t="str">
        <f aca="false">IF('4 Lattice'!$P68=1,"No response option on a crown jewel. Fix before anything else on this sheet.",IF('4 Lattice'!$M68=0,"",IF('4 Lattice'!$L68=3,"Proven. Keep it rehearsed.","Can we limit, reverse and restore?")))</f>
        <v/>
      </c>
      <c r="J129" s="1"/>
      <c r="K129" s="1"/>
    </row>
    <row r="130" customFormat="false" ht="15" hidden="false" customHeight="false" outlineLevel="0" collapsed="false">
      <c r="A130" s="1"/>
      <c r="B130" s="1"/>
      <c r="C130" s="1"/>
      <c r="D130" s="1"/>
      <c r="E130" s="1"/>
      <c r="F130" s="1"/>
      <c r="G130" s="1"/>
      <c r="H130" s="1"/>
      <c r="I130" s="1"/>
      <c r="J130" s="1"/>
      <c r="K130" s="1"/>
    </row>
    <row r="131" customFormat="false" ht="15" hidden="false" customHeight="false" outlineLevel="0" collapsed="false">
      <c r="A131" s="1"/>
      <c r="B131" s="1"/>
      <c r="C131" s="1"/>
      <c r="D131" s="1"/>
      <c r="E131" s="1"/>
      <c r="F131" s="1"/>
      <c r="G131" s="1"/>
      <c r="H131" s="1"/>
      <c r="I131" s="1"/>
      <c r="J131" s="1"/>
      <c r="K131" s="1"/>
    </row>
    <row r="132" customFormat="false" ht="22.35" hidden="false" customHeight="false" outlineLevel="0" collapsed="false">
      <c r="A132" s="1"/>
      <c r="B132" s="1"/>
      <c r="C132" s="44" t="s">
        <v>543</v>
      </c>
      <c r="D132" s="1"/>
      <c r="E132" s="1"/>
      <c r="F132" s="1"/>
      <c r="G132" s="1"/>
      <c r="H132" s="1"/>
      <c r="I132" s="1"/>
      <c r="J132" s="1"/>
      <c r="K132" s="1"/>
    </row>
  </sheetData>
  <autoFilter ref="A4:K62"/>
  <mergeCells count="2">
    <mergeCell ref="A1:F1"/>
    <mergeCell ref="A2:H2"/>
  </mergeCells>
  <conditionalFormatting sqref="G66:G129">
    <cfRule type="cellIs" priority="2" operator="equal" aboveAverage="0" equalAverage="0" bottom="0" percent="0" rank="0" text="" dxfId="0">
      <formula>"BLIND"</formula>
    </cfRule>
  </conditionalFormatting>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9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0"/>
    <col collapsed="false" customWidth="true" hidden="false" outlineLevel="0" max="4" min="3" style="0" width="10"/>
    <col collapsed="false" customWidth="true" hidden="false" outlineLevel="0" max="5" min="5" style="0" width="74"/>
  </cols>
  <sheetData>
    <row r="1" customFormat="false" ht="19.7" hidden="false" customHeight="true" outlineLevel="0" collapsed="false">
      <c r="A1" s="33" t="s">
        <v>773</v>
      </c>
      <c r="B1" s="33"/>
      <c r="C1" s="33"/>
      <c r="D1" s="33"/>
      <c r="E1" s="33"/>
    </row>
    <row r="2" customFormat="false" ht="15" hidden="false" customHeight="true" outlineLevel="0" collapsed="false">
      <c r="A2" s="19" t="s">
        <v>774</v>
      </c>
      <c r="B2" s="19"/>
      <c r="C2" s="19"/>
      <c r="D2" s="19"/>
      <c r="E2" s="19"/>
    </row>
    <row r="3" customFormat="false" ht="15" hidden="false" customHeight="false" outlineLevel="0" collapsed="false">
      <c r="A3" s="1"/>
      <c r="B3" s="1"/>
      <c r="C3" s="1"/>
      <c r="D3" s="1"/>
      <c r="E3" s="1"/>
    </row>
    <row r="4" customFormat="false" ht="26.85" hidden="false" customHeight="false" outlineLevel="0" collapsed="false">
      <c r="A4" s="4" t="s">
        <v>775</v>
      </c>
      <c r="B4" s="1"/>
      <c r="C4" s="1"/>
      <c r="D4" s="1"/>
      <c r="E4" s="1"/>
    </row>
    <row r="5" customFormat="false" ht="30" hidden="false" customHeight="true" outlineLevel="0" collapsed="false">
      <c r="A5" s="6" t="s">
        <v>160</v>
      </c>
      <c r="B5" s="6" t="s">
        <v>36</v>
      </c>
      <c r="C5" s="6" t="s">
        <v>776</v>
      </c>
      <c r="D5" s="6" t="s">
        <v>777</v>
      </c>
      <c r="E5" s="6" t="s">
        <v>778</v>
      </c>
    </row>
    <row r="6" customFormat="false" ht="25.5" hidden="false" customHeight="true" outlineLevel="0" collapsed="false">
      <c r="A6" s="8" t="s">
        <v>38</v>
      </c>
      <c r="B6" s="8" t="s">
        <v>39</v>
      </c>
      <c r="C6" s="8" t="n">
        <v>0</v>
      </c>
      <c r="D6" s="8" t="n">
        <v>0.99</v>
      </c>
      <c r="E6" s="8" t="s">
        <v>40</v>
      </c>
    </row>
    <row r="7" customFormat="false" ht="25.5" hidden="false" customHeight="true" outlineLevel="0" collapsed="false">
      <c r="A7" s="8" t="s">
        <v>41</v>
      </c>
      <c r="B7" s="8" t="s">
        <v>42</v>
      </c>
      <c r="C7" s="8" t="n">
        <v>1</v>
      </c>
      <c r="D7" s="8" t="n">
        <v>1.99</v>
      </c>
      <c r="E7" s="8" t="s">
        <v>43</v>
      </c>
    </row>
    <row r="8" customFormat="false" ht="25.5" hidden="false" customHeight="true" outlineLevel="0" collapsed="false">
      <c r="A8" s="8" t="s">
        <v>44</v>
      </c>
      <c r="B8" s="8" t="s">
        <v>45</v>
      </c>
      <c r="C8" s="8" t="n">
        <v>2</v>
      </c>
      <c r="D8" s="8" t="n">
        <v>2.99</v>
      </c>
      <c r="E8" s="8" t="s">
        <v>46</v>
      </c>
    </row>
    <row r="9" customFormat="false" ht="25.5" hidden="false" customHeight="true" outlineLevel="0" collapsed="false">
      <c r="A9" s="8" t="s">
        <v>47</v>
      </c>
      <c r="B9" s="8" t="s">
        <v>48</v>
      </c>
      <c r="C9" s="8" t="n">
        <v>3</v>
      </c>
      <c r="D9" s="8" t="n">
        <v>3.99</v>
      </c>
      <c r="E9" s="8" t="s">
        <v>49</v>
      </c>
    </row>
    <row r="10" customFormat="false" ht="25.5" hidden="false" customHeight="true" outlineLevel="0" collapsed="false">
      <c r="A10" s="8" t="s">
        <v>50</v>
      </c>
      <c r="B10" s="8" t="s">
        <v>51</v>
      </c>
      <c r="C10" s="8" t="n">
        <v>4</v>
      </c>
      <c r="D10" s="8" t="n">
        <v>4.99</v>
      </c>
      <c r="E10" s="8" t="s">
        <v>52</v>
      </c>
    </row>
    <row r="11" customFormat="false" ht="25.5" hidden="false" customHeight="true" outlineLevel="0" collapsed="false">
      <c r="A11" s="8" t="s">
        <v>53</v>
      </c>
      <c r="B11" s="8" t="s">
        <v>54</v>
      </c>
      <c r="C11" s="8" t="n">
        <v>5</v>
      </c>
      <c r="D11" s="8" t="n">
        <v>5</v>
      </c>
      <c r="E11" s="8" t="s">
        <v>55</v>
      </c>
    </row>
    <row r="12" customFormat="false" ht="15" hidden="false" customHeight="false" outlineLevel="0" collapsed="false">
      <c r="A12" s="1"/>
      <c r="B12" s="1"/>
      <c r="C12" s="1"/>
      <c r="D12" s="1"/>
      <c r="E12" s="1"/>
    </row>
    <row r="13" customFormat="false" ht="64.9" hidden="false" customHeight="false" outlineLevel="0" collapsed="false">
      <c r="A13" s="4" t="s">
        <v>779</v>
      </c>
      <c r="B13" s="1"/>
      <c r="C13" s="1"/>
      <c r="D13" s="1"/>
      <c r="E13" s="1"/>
    </row>
    <row r="14" customFormat="false" ht="30" hidden="false" customHeight="true" outlineLevel="0" collapsed="false">
      <c r="A14" s="6" t="s">
        <v>780</v>
      </c>
      <c r="B14" s="6" t="s">
        <v>781</v>
      </c>
      <c r="C14" s="6" t="s">
        <v>782</v>
      </c>
      <c r="D14" s="6"/>
      <c r="E14" s="6" t="s">
        <v>700</v>
      </c>
    </row>
    <row r="15" customFormat="false" ht="25.5" hidden="false" customHeight="true" outlineLevel="0" collapsed="false">
      <c r="A15" s="8" t="n">
        <v>0</v>
      </c>
      <c r="B15" s="8" t="s">
        <v>783</v>
      </c>
      <c r="C15" s="8" t="n">
        <v>1</v>
      </c>
      <c r="D15" s="8"/>
      <c r="E15" s="8" t="s">
        <v>784</v>
      </c>
    </row>
    <row r="16" customFormat="false" ht="25.5" hidden="false" customHeight="true" outlineLevel="0" collapsed="false">
      <c r="A16" s="8" t="n">
        <v>1</v>
      </c>
      <c r="B16" s="8" t="s">
        <v>785</v>
      </c>
      <c r="C16" s="8" t="n">
        <v>2</v>
      </c>
      <c r="D16" s="8"/>
      <c r="E16" s="8" t="s">
        <v>786</v>
      </c>
    </row>
    <row r="17" customFormat="false" ht="25.5" hidden="false" customHeight="true" outlineLevel="0" collapsed="false">
      <c r="A17" s="8" t="n">
        <v>2</v>
      </c>
      <c r="B17" s="8" t="s">
        <v>787</v>
      </c>
      <c r="C17" s="8" t="n">
        <v>4</v>
      </c>
      <c r="D17" s="8"/>
      <c r="E17" s="8" t="s">
        <v>788</v>
      </c>
    </row>
    <row r="18" customFormat="false" ht="25.5" hidden="false" customHeight="true" outlineLevel="0" collapsed="false">
      <c r="A18" s="8" t="n">
        <v>3</v>
      </c>
      <c r="B18" s="8" t="s">
        <v>789</v>
      </c>
      <c r="C18" s="8" t="n">
        <v>5</v>
      </c>
      <c r="D18" s="8"/>
      <c r="E18" s="8" t="s">
        <v>790</v>
      </c>
    </row>
    <row r="19" customFormat="false" ht="15" hidden="false" customHeight="false" outlineLevel="0" collapsed="false">
      <c r="A19" s="1"/>
      <c r="B19" s="1"/>
      <c r="C19" s="1"/>
      <c r="D19" s="1"/>
      <c r="E19" s="1"/>
    </row>
    <row r="20" customFormat="false" ht="102.95" hidden="false" customHeight="false" outlineLevel="0" collapsed="false">
      <c r="A20" s="4" t="s">
        <v>791</v>
      </c>
      <c r="B20" s="1"/>
      <c r="C20" s="1"/>
      <c r="D20" s="1"/>
      <c r="E20" s="1"/>
    </row>
    <row r="21" customFormat="false" ht="30" hidden="false" customHeight="true" outlineLevel="0" collapsed="false">
      <c r="A21" s="6" t="s">
        <v>491</v>
      </c>
      <c r="B21" s="6" t="s">
        <v>36</v>
      </c>
      <c r="C21" s="6"/>
      <c r="D21" s="6"/>
      <c r="E21" s="6" t="s">
        <v>778</v>
      </c>
    </row>
    <row r="22" customFormat="false" ht="25.5" hidden="false" customHeight="true" outlineLevel="0" collapsed="false">
      <c r="A22" s="8" t="n">
        <v>0</v>
      </c>
      <c r="B22" s="8" t="s">
        <v>792</v>
      </c>
      <c r="C22" s="8"/>
      <c r="D22" s="8"/>
      <c r="E22" s="8" t="s">
        <v>793</v>
      </c>
    </row>
    <row r="23" customFormat="false" ht="25.5" hidden="false" customHeight="true" outlineLevel="0" collapsed="false">
      <c r="A23" s="8" t="n">
        <v>1</v>
      </c>
      <c r="B23" s="8" t="s">
        <v>794</v>
      </c>
      <c r="C23" s="8"/>
      <c r="D23" s="8"/>
      <c r="E23" s="8" t="s">
        <v>795</v>
      </c>
    </row>
    <row r="24" customFormat="false" ht="25.5" hidden="false" customHeight="true" outlineLevel="0" collapsed="false">
      <c r="A24" s="8" t="n">
        <v>2</v>
      </c>
      <c r="B24" s="8" t="s">
        <v>796</v>
      </c>
      <c r="C24" s="8"/>
      <c r="D24" s="8"/>
      <c r="E24" s="8" t="s">
        <v>797</v>
      </c>
    </row>
    <row r="25" customFormat="false" ht="25.5" hidden="false" customHeight="true" outlineLevel="0" collapsed="false">
      <c r="A25" s="8" t="n">
        <v>3</v>
      </c>
      <c r="B25" s="8" t="s">
        <v>532</v>
      </c>
      <c r="C25" s="8"/>
      <c r="D25" s="8"/>
      <c r="E25" s="8" t="s">
        <v>798</v>
      </c>
    </row>
    <row r="26" customFormat="false" ht="15" hidden="false" customHeight="false" outlineLevel="0" collapsed="false">
      <c r="A26" s="1"/>
      <c r="B26" s="1"/>
      <c r="C26" s="1"/>
      <c r="D26" s="1"/>
      <c r="E26" s="1"/>
    </row>
    <row r="27" customFormat="false" ht="77.6" hidden="false" customHeight="false" outlineLevel="0" collapsed="false">
      <c r="A27" s="4" t="s">
        <v>799</v>
      </c>
      <c r="B27" s="1"/>
      <c r="C27" s="1"/>
      <c r="D27" s="1"/>
      <c r="E27" s="1"/>
    </row>
    <row r="28" customFormat="false" ht="30" hidden="false" customHeight="true" outlineLevel="0" collapsed="false">
      <c r="A28" s="6" t="s">
        <v>491</v>
      </c>
      <c r="B28" s="6" t="s">
        <v>800</v>
      </c>
      <c r="C28" s="6"/>
      <c r="D28" s="6"/>
      <c r="E28" s="6" t="s">
        <v>801</v>
      </c>
    </row>
    <row r="29" customFormat="false" ht="25.5" hidden="false" customHeight="true" outlineLevel="0" collapsed="false">
      <c r="A29" s="8" t="n">
        <v>3</v>
      </c>
      <c r="B29" s="8" t="s">
        <v>802</v>
      </c>
      <c r="C29" s="8"/>
      <c r="D29" s="8"/>
      <c r="E29" s="8" t="s">
        <v>803</v>
      </c>
    </row>
    <row r="30" customFormat="false" ht="25.5" hidden="false" customHeight="true" outlineLevel="0" collapsed="false">
      <c r="A30" s="8" t="n">
        <v>2</v>
      </c>
      <c r="B30" s="8" t="s">
        <v>804</v>
      </c>
      <c r="C30" s="8"/>
      <c r="D30" s="8"/>
      <c r="E30" s="8" t="s">
        <v>805</v>
      </c>
    </row>
    <row r="31" customFormat="false" ht="25.5" hidden="false" customHeight="true" outlineLevel="0" collapsed="false">
      <c r="A31" s="8" t="n">
        <v>1</v>
      </c>
      <c r="B31" s="8" t="s">
        <v>806</v>
      </c>
      <c r="C31" s="8"/>
      <c r="D31" s="8"/>
      <c r="E31" s="8" t="s">
        <v>807</v>
      </c>
    </row>
    <row r="32" customFormat="false" ht="15" hidden="false" customHeight="false" outlineLevel="0" collapsed="false">
      <c r="A32" s="1"/>
      <c r="B32" s="1"/>
      <c r="C32" s="1"/>
      <c r="D32" s="1"/>
      <c r="E32" s="1"/>
    </row>
    <row r="33" customFormat="false" ht="39.55" hidden="false" customHeight="false" outlineLevel="0" collapsed="false">
      <c r="A33" s="4" t="s">
        <v>808</v>
      </c>
      <c r="B33" s="1"/>
      <c r="C33" s="1"/>
      <c r="D33" s="1"/>
      <c r="E33" s="1"/>
    </row>
    <row r="34" customFormat="false" ht="30" hidden="false" customHeight="true" outlineLevel="0" collapsed="false">
      <c r="A34" s="6" t="s">
        <v>160</v>
      </c>
      <c r="B34" s="6" t="s">
        <v>421</v>
      </c>
      <c r="C34" s="6" t="s">
        <v>809</v>
      </c>
      <c r="D34" s="6"/>
      <c r="E34" s="6" t="s">
        <v>534</v>
      </c>
    </row>
    <row r="35" customFormat="false" ht="25.5" hidden="false" customHeight="true" outlineLevel="0" collapsed="false">
      <c r="A35" s="8" t="s">
        <v>438</v>
      </c>
      <c r="B35" s="8" t="s">
        <v>439</v>
      </c>
      <c r="C35" s="8" t="n">
        <v>1.6</v>
      </c>
      <c r="D35" s="8"/>
      <c r="E35" s="8" t="s">
        <v>810</v>
      </c>
    </row>
    <row r="36" customFormat="false" ht="25.5" hidden="false" customHeight="true" outlineLevel="0" collapsed="false">
      <c r="A36" s="8" t="s">
        <v>456</v>
      </c>
      <c r="B36" s="8" t="s">
        <v>457</v>
      </c>
      <c r="C36" s="8" t="n">
        <v>1.5</v>
      </c>
      <c r="D36" s="8"/>
      <c r="E36" s="8" t="s">
        <v>811</v>
      </c>
    </row>
    <row r="37" customFormat="false" ht="25.5" hidden="false" customHeight="true" outlineLevel="0" collapsed="false">
      <c r="A37" s="8" t="s">
        <v>458</v>
      </c>
      <c r="B37" s="8" t="s">
        <v>459</v>
      </c>
      <c r="C37" s="8" t="n">
        <v>1.4</v>
      </c>
      <c r="D37" s="8"/>
      <c r="E37" s="8" t="s">
        <v>812</v>
      </c>
    </row>
    <row r="38" customFormat="false" ht="25.5" hidden="false" customHeight="true" outlineLevel="0" collapsed="false">
      <c r="A38" s="8" t="s">
        <v>460</v>
      </c>
      <c r="B38" s="8" t="s">
        <v>461</v>
      </c>
      <c r="C38" s="8" t="n">
        <v>1.3</v>
      </c>
      <c r="D38" s="8"/>
      <c r="E38" s="8" t="s">
        <v>813</v>
      </c>
    </row>
    <row r="39" customFormat="false" ht="25.5" hidden="false" customHeight="true" outlineLevel="0" collapsed="false">
      <c r="A39" s="8" t="s">
        <v>462</v>
      </c>
      <c r="B39" s="8" t="s">
        <v>463</v>
      </c>
      <c r="C39" s="8" t="n">
        <v>1.2</v>
      </c>
      <c r="D39" s="8"/>
      <c r="E39" s="8" t="s">
        <v>814</v>
      </c>
    </row>
    <row r="40" customFormat="false" ht="25.5" hidden="false" customHeight="true" outlineLevel="0" collapsed="false">
      <c r="A40" s="8" t="s">
        <v>464</v>
      </c>
      <c r="B40" s="8" t="s">
        <v>465</v>
      </c>
      <c r="C40" s="8" t="n">
        <v>1</v>
      </c>
      <c r="D40" s="8"/>
      <c r="E40" s="8" t="s">
        <v>815</v>
      </c>
    </row>
    <row r="41" customFormat="false" ht="25.5" hidden="false" customHeight="true" outlineLevel="0" collapsed="false">
      <c r="A41" s="8" t="s">
        <v>466</v>
      </c>
      <c r="B41" s="8" t="s">
        <v>467</v>
      </c>
      <c r="C41" s="8" t="n">
        <v>1</v>
      </c>
      <c r="D41" s="8"/>
      <c r="E41" s="8" t="s">
        <v>816</v>
      </c>
    </row>
    <row r="42" customFormat="false" ht="25.5" hidden="false" customHeight="true" outlineLevel="0" collapsed="false">
      <c r="A42" s="8" t="s">
        <v>468</v>
      </c>
      <c r="B42" s="8" t="s">
        <v>469</v>
      </c>
      <c r="C42" s="8" t="n">
        <v>0.8</v>
      </c>
      <c r="D42" s="8"/>
      <c r="E42" s="8" t="s">
        <v>817</v>
      </c>
    </row>
    <row r="43" customFormat="false" ht="15" hidden="false" customHeight="false" outlineLevel="0" collapsed="false">
      <c r="A43" s="1"/>
      <c r="B43" s="1"/>
      <c r="C43" s="1"/>
      <c r="D43" s="1"/>
      <c r="E43" s="1"/>
    </row>
    <row r="44" customFormat="false" ht="26.85" hidden="false" customHeight="false" outlineLevel="0" collapsed="false">
      <c r="A44" s="4" t="s">
        <v>818</v>
      </c>
      <c r="B44" s="1"/>
      <c r="C44" s="1"/>
      <c r="D44" s="1"/>
      <c r="E44" s="1"/>
    </row>
    <row r="45" customFormat="false" ht="30" hidden="false" customHeight="true" outlineLevel="0" collapsed="false">
      <c r="A45" s="6" t="s">
        <v>160</v>
      </c>
      <c r="B45" s="6" t="s">
        <v>424</v>
      </c>
      <c r="C45" s="6" t="s">
        <v>819</v>
      </c>
      <c r="D45" s="6"/>
      <c r="E45" s="6" t="s">
        <v>820</v>
      </c>
    </row>
    <row r="46" customFormat="false" ht="25.5" hidden="false" customHeight="true" outlineLevel="0" collapsed="false">
      <c r="A46" s="8" t="s">
        <v>440</v>
      </c>
      <c r="B46" s="8" t="s">
        <v>441</v>
      </c>
      <c r="C46" s="8" t="s">
        <v>702</v>
      </c>
      <c r="D46" s="8"/>
      <c r="E46" s="8" t="s">
        <v>821</v>
      </c>
    </row>
    <row r="47" customFormat="false" ht="25.5" hidden="false" customHeight="true" outlineLevel="0" collapsed="false">
      <c r="A47" s="8" t="s">
        <v>442</v>
      </c>
      <c r="B47" s="8" t="s">
        <v>443</v>
      </c>
      <c r="C47" s="8" t="s">
        <v>704</v>
      </c>
      <c r="D47" s="8"/>
      <c r="E47" s="8" t="s">
        <v>822</v>
      </c>
    </row>
    <row r="48" customFormat="false" ht="25.5" hidden="false" customHeight="true" outlineLevel="0" collapsed="false">
      <c r="A48" s="8" t="s">
        <v>444</v>
      </c>
      <c r="B48" s="8" t="s">
        <v>445</v>
      </c>
      <c r="C48" s="8" t="s">
        <v>706</v>
      </c>
      <c r="D48" s="8"/>
      <c r="E48" s="8" t="s">
        <v>823</v>
      </c>
    </row>
    <row r="49" customFormat="false" ht="25.5" hidden="false" customHeight="true" outlineLevel="0" collapsed="false">
      <c r="A49" s="8" t="s">
        <v>446</v>
      </c>
      <c r="B49" s="8" t="s">
        <v>447</v>
      </c>
      <c r="C49" s="8" t="s">
        <v>708</v>
      </c>
      <c r="D49" s="8"/>
      <c r="E49" s="8" t="s">
        <v>824</v>
      </c>
    </row>
    <row r="50" customFormat="false" ht="25.5" hidden="false" customHeight="true" outlineLevel="0" collapsed="false">
      <c r="A50" s="8" t="s">
        <v>448</v>
      </c>
      <c r="B50" s="8" t="s">
        <v>449</v>
      </c>
      <c r="C50" s="8" t="s">
        <v>710</v>
      </c>
      <c r="D50" s="8"/>
      <c r="E50" s="8" t="s">
        <v>825</v>
      </c>
    </row>
    <row r="51" customFormat="false" ht="25.5" hidden="false" customHeight="true" outlineLevel="0" collapsed="false">
      <c r="A51" s="8" t="s">
        <v>450</v>
      </c>
      <c r="B51" s="8" t="s">
        <v>451</v>
      </c>
      <c r="C51" s="8" t="s">
        <v>712</v>
      </c>
      <c r="D51" s="8"/>
      <c r="E51" s="8" t="s">
        <v>826</v>
      </c>
    </row>
    <row r="52" customFormat="false" ht="25.5" hidden="false" customHeight="true" outlineLevel="0" collapsed="false">
      <c r="A52" s="8" t="s">
        <v>452</v>
      </c>
      <c r="B52" s="8" t="s">
        <v>453</v>
      </c>
      <c r="C52" s="8" t="s">
        <v>714</v>
      </c>
      <c r="D52" s="8"/>
      <c r="E52" s="8" t="s">
        <v>827</v>
      </c>
    </row>
    <row r="53" customFormat="false" ht="25.5" hidden="false" customHeight="true" outlineLevel="0" collapsed="false">
      <c r="A53" s="8" t="s">
        <v>454</v>
      </c>
      <c r="B53" s="8" t="s">
        <v>455</v>
      </c>
      <c r="C53" s="8" t="s">
        <v>716</v>
      </c>
      <c r="D53" s="8"/>
      <c r="E53" s="8" t="s">
        <v>828</v>
      </c>
    </row>
    <row r="54" customFormat="false" ht="15" hidden="false" customHeight="false" outlineLevel="0" collapsed="false">
      <c r="A54" s="1"/>
      <c r="B54" s="1"/>
      <c r="C54" s="1"/>
      <c r="D54" s="1"/>
      <c r="E54" s="1"/>
    </row>
    <row r="55" customFormat="false" ht="39.55" hidden="false" customHeight="false" outlineLevel="0" collapsed="false">
      <c r="A55" s="4" t="s">
        <v>829</v>
      </c>
      <c r="B55" s="1"/>
      <c r="C55" s="1"/>
      <c r="D55" s="1"/>
      <c r="E55" s="1"/>
    </row>
    <row r="56" customFormat="false" ht="30" hidden="false" customHeight="true" outlineLevel="0" collapsed="false">
      <c r="A56" s="6" t="s">
        <v>160</v>
      </c>
      <c r="B56" s="6" t="s">
        <v>158</v>
      </c>
      <c r="C56" s="6" t="s">
        <v>830</v>
      </c>
      <c r="D56" s="6"/>
      <c r="E56" s="6" t="s">
        <v>534</v>
      </c>
    </row>
    <row r="57" customFormat="false" ht="25.5" hidden="false" customHeight="true" outlineLevel="0" collapsed="false">
      <c r="A57" s="8" t="s">
        <v>831</v>
      </c>
      <c r="B57" s="8" t="s">
        <v>832</v>
      </c>
      <c r="C57" s="8" t="n">
        <v>10</v>
      </c>
      <c r="D57" s="8"/>
      <c r="E57" s="8" t="s">
        <v>481</v>
      </c>
    </row>
    <row r="58" customFormat="false" ht="25.5" hidden="false" customHeight="true" outlineLevel="0" collapsed="false">
      <c r="A58" s="8" t="s">
        <v>833</v>
      </c>
      <c r="B58" s="8" t="s">
        <v>834</v>
      </c>
      <c r="C58" s="8" t="n">
        <v>12</v>
      </c>
      <c r="D58" s="8"/>
      <c r="E58" s="8" t="s">
        <v>482</v>
      </c>
    </row>
    <row r="59" customFormat="false" ht="25.5" hidden="false" customHeight="true" outlineLevel="0" collapsed="false">
      <c r="A59" s="8" t="s">
        <v>835</v>
      </c>
      <c r="B59" s="8" t="s">
        <v>836</v>
      </c>
      <c r="C59" s="8" t="n">
        <v>16</v>
      </c>
      <c r="D59" s="8"/>
      <c r="E59" s="8" t="s">
        <v>483</v>
      </c>
    </row>
    <row r="60" customFormat="false" ht="25.5" hidden="false" customHeight="true" outlineLevel="0" collapsed="false">
      <c r="A60" s="8" t="s">
        <v>837</v>
      </c>
      <c r="B60" s="8" t="s">
        <v>838</v>
      </c>
      <c r="C60" s="8" t="n">
        <v>14</v>
      </c>
      <c r="D60" s="8"/>
      <c r="E60" s="8" t="s">
        <v>484</v>
      </c>
    </row>
    <row r="61" customFormat="false" ht="25.5" hidden="false" customHeight="true" outlineLevel="0" collapsed="false">
      <c r="A61" s="8" t="s">
        <v>839</v>
      </c>
      <c r="B61" s="8" t="s">
        <v>840</v>
      </c>
      <c r="C61" s="8" t="n">
        <v>12</v>
      </c>
      <c r="D61" s="8"/>
      <c r="E61" s="8" t="s">
        <v>485</v>
      </c>
    </row>
    <row r="62" customFormat="false" ht="25.5" hidden="false" customHeight="true" outlineLevel="0" collapsed="false">
      <c r="A62" s="8" t="s">
        <v>841</v>
      </c>
      <c r="B62" s="8" t="s">
        <v>842</v>
      </c>
      <c r="C62" s="8" t="n">
        <v>10</v>
      </c>
      <c r="D62" s="8"/>
      <c r="E62" s="8" t="s">
        <v>486</v>
      </c>
    </row>
    <row r="63" customFormat="false" ht="25.5" hidden="false" customHeight="true" outlineLevel="0" collapsed="false">
      <c r="A63" s="8" t="s">
        <v>843</v>
      </c>
      <c r="B63" s="8" t="s">
        <v>844</v>
      </c>
      <c r="C63" s="8" t="n">
        <v>14</v>
      </c>
      <c r="D63" s="8"/>
      <c r="E63" s="8" t="s">
        <v>487</v>
      </c>
    </row>
    <row r="64" customFormat="false" ht="25.5" hidden="false" customHeight="true" outlineLevel="0" collapsed="false">
      <c r="A64" s="8" t="s">
        <v>845</v>
      </c>
      <c r="B64" s="8" t="s">
        <v>846</v>
      </c>
      <c r="C64" s="8" t="n">
        <v>12</v>
      </c>
      <c r="D64" s="8"/>
      <c r="E64" s="8" t="s">
        <v>488</v>
      </c>
    </row>
    <row r="65" customFormat="false" ht="15" hidden="false" customHeight="false" outlineLevel="0" collapsed="false">
      <c r="A65" s="1"/>
      <c r="B65" s="1"/>
      <c r="C65" s="1"/>
      <c r="D65" s="1"/>
      <c r="E65" s="1"/>
    </row>
    <row r="66" customFormat="false" ht="39.55" hidden="false" customHeight="false" outlineLevel="0" collapsed="false">
      <c r="A66" s="4" t="s">
        <v>847</v>
      </c>
      <c r="B66" s="1"/>
      <c r="C66" s="1"/>
      <c r="D66" s="1"/>
      <c r="E66" s="1"/>
    </row>
    <row r="67" customFormat="false" ht="30" hidden="false" customHeight="true" outlineLevel="0" collapsed="false">
      <c r="A67" s="6" t="s">
        <v>160</v>
      </c>
      <c r="B67" s="6" t="s">
        <v>36</v>
      </c>
      <c r="C67" s="6" t="s">
        <v>780</v>
      </c>
      <c r="D67" s="6"/>
      <c r="E67" s="6" t="s">
        <v>848</v>
      </c>
    </row>
    <row r="68" customFormat="false" ht="25.5" hidden="false" customHeight="true" outlineLevel="0" collapsed="false">
      <c r="A68" s="8" t="s">
        <v>849</v>
      </c>
      <c r="B68" s="8" t="s">
        <v>850</v>
      </c>
      <c r="C68" s="8" t="s">
        <v>851</v>
      </c>
      <c r="D68" s="8"/>
      <c r="E68" s="8" t="s">
        <v>852</v>
      </c>
    </row>
    <row r="69" customFormat="false" ht="25.5" hidden="false" customHeight="true" outlineLevel="0" collapsed="false">
      <c r="A69" s="8" t="s">
        <v>853</v>
      </c>
      <c r="B69" s="8" t="s">
        <v>854</v>
      </c>
      <c r="C69" s="8" t="s">
        <v>851</v>
      </c>
      <c r="D69" s="8"/>
      <c r="E69" s="8" t="s">
        <v>855</v>
      </c>
    </row>
    <row r="70" customFormat="false" ht="25.5" hidden="false" customHeight="true" outlineLevel="0" collapsed="false">
      <c r="A70" s="8" t="s">
        <v>856</v>
      </c>
      <c r="B70" s="8" t="s">
        <v>169</v>
      </c>
      <c r="C70" s="8" t="s">
        <v>857</v>
      </c>
      <c r="D70" s="8"/>
      <c r="E70" s="8" t="s">
        <v>858</v>
      </c>
    </row>
    <row r="71" customFormat="false" ht="25.5" hidden="false" customHeight="true" outlineLevel="0" collapsed="false">
      <c r="A71" s="8" t="s">
        <v>859</v>
      </c>
      <c r="B71" s="8" t="s">
        <v>860</v>
      </c>
      <c r="C71" s="8" t="s">
        <v>851</v>
      </c>
      <c r="D71" s="8"/>
      <c r="E71" s="8" t="s">
        <v>861</v>
      </c>
    </row>
    <row r="72" customFormat="false" ht="25.5" hidden="false" customHeight="true" outlineLevel="0" collapsed="false">
      <c r="A72" s="8" t="s">
        <v>862</v>
      </c>
      <c r="B72" s="8" t="s">
        <v>863</v>
      </c>
      <c r="C72" s="8" t="s">
        <v>864</v>
      </c>
      <c r="D72" s="8"/>
      <c r="E72" s="8" t="s">
        <v>865</v>
      </c>
    </row>
    <row r="73" customFormat="false" ht="25.5" hidden="false" customHeight="true" outlineLevel="0" collapsed="false">
      <c r="A73" s="8" t="s">
        <v>866</v>
      </c>
      <c r="B73" s="8" t="s">
        <v>867</v>
      </c>
      <c r="C73" s="8" t="s">
        <v>864</v>
      </c>
      <c r="D73" s="8"/>
      <c r="E73" s="8" t="s">
        <v>868</v>
      </c>
    </row>
    <row r="74" customFormat="false" ht="25.5" hidden="false" customHeight="true" outlineLevel="0" collapsed="false">
      <c r="A74" s="8" t="s">
        <v>869</v>
      </c>
      <c r="B74" s="8" t="s">
        <v>870</v>
      </c>
      <c r="C74" s="8" t="s">
        <v>864</v>
      </c>
      <c r="D74" s="8"/>
      <c r="E74" s="8" t="s">
        <v>871</v>
      </c>
    </row>
    <row r="75" customFormat="false" ht="25.5" hidden="false" customHeight="true" outlineLevel="0" collapsed="false">
      <c r="A75" s="8" t="s">
        <v>872</v>
      </c>
      <c r="B75" s="8" t="s">
        <v>873</v>
      </c>
      <c r="C75" s="8" t="s">
        <v>864</v>
      </c>
      <c r="D75" s="8"/>
      <c r="E75" s="8" t="s">
        <v>874</v>
      </c>
    </row>
    <row r="76" customFormat="false" ht="15" hidden="false" customHeight="false" outlineLevel="0" collapsed="false">
      <c r="A76" s="1"/>
      <c r="B76" s="1"/>
      <c r="C76" s="1"/>
      <c r="D76" s="1"/>
      <c r="E76" s="1"/>
    </row>
    <row r="77" customFormat="false" ht="39.55" hidden="false" customHeight="false" outlineLevel="0" collapsed="false">
      <c r="A77" s="4" t="s">
        <v>875</v>
      </c>
      <c r="B77" s="1"/>
      <c r="C77" s="1"/>
      <c r="D77" s="1"/>
      <c r="E77" s="1"/>
    </row>
    <row r="78" customFormat="false" ht="30" hidden="false" customHeight="true" outlineLevel="0" collapsed="false">
      <c r="A78" s="6" t="s">
        <v>160</v>
      </c>
      <c r="B78" s="6" t="s">
        <v>800</v>
      </c>
      <c r="C78" s="6" t="s">
        <v>876</v>
      </c>
      <c r="D78" s="6"/>
      <c r="E78" s="6" t="s">
        <v>820</v>
      </c>
    </row>
    <row r="79" customFormat="false" ht="25.5" hidden="false" customHeight="true" outlineLevel="0" collapsed="false">
      <c r="A79" s="8" t="s">
        <v>877</v>
      </c>
      <c r="B79" s="8" t="s">
        <v>878</v>
      </c>
      <c r="C79" s="8" t="s">
        <v>47</v>
      </c>
      <c r="D79" s="8"/>
      <c r="E79" s="8" t="s">
        <v>879</v>
      </c>
    </row>
    <row r="80" customFormat="false" ht="25.5" hidden="false" customHeight="true" outlineLevel="0" collapsed="false">
      <c r="A80" s="8" t="s">
        <v>69</v>
      </c>
      <c r="B80" s="8" t="s">
        <v>880</v>
      </c>
      <c r="C80" s="8" t="s">
        <v>50</v>
      </c>
      <c r="D80" s="8"/>
      <c r="E80" s="8" t="s">
        <v>881</v>
      </c>
    </row>
    <row r="81" customFormat="false" ht="25.5" hidden="false" customHeight="true" outlineLevel="0" collapsed="false">
      <c r="A81" s="8" t="s">
        <v>882</v>
      </c>
      <c r="B81" s="8" t="s">
        <v>883</v>
      </c>
      <c r="C81" s="8" t="s">
        <v>884</v>
      </c>
      <c r="D81" s="8"/>
      <c r="E81" s="8" t="s">
        <v>885</v>
      </c>
    </row>
    <row r="82" customFormat="false" ht="15" hidden="false" customHeight="false" outlineLevel="0" collapsed="false">
      <c r="A82" s="1"/>
      <c r="B82" s="1"/>
      <c r="C82" s="1"/>
      <c r="D82" s="1"/>
      <c r="E82" s="1"/>
    </row>
    <row r="83" customFormat="false" ht="39.55" hidden="false" customHeight="false" outlineLevel="0" collapsed="false">
      <c r="A83" s="4" t="s">
        <v>886</v>
      </c>
      <c r="B83" s="1"/>
      <c r="C83" s="1"/>
      <c r="D83" s="1"/>
      <c r="E83" s="1"/>
    </row>
    <row r="84" customFormat="false" ht="30" hidden="false" customHeight="true" outlineLevel="0" collapsed="false">
      <c r="A84" s="6" t="s">
        <v>887</v>
      </c>
      <c r="B84" s="6" t="s">
        <v>551</v>
      </c>
      <c r="C84" s="6"/>
      <c r="D84" s="6" t="s">
        <v>552</v>
      </c>
      <c r="E84" s="6" t="s">
        <v>888</v>
      </c>
    </row>
    <row r="85" customFormat="false" ht="25.5" hidden="false" customHeight="true" outlineLevel="0" collapsed="false">
      <c r="A85" s="8" t="n">
        <v>1</v>
      </c>
      <c r="B85" s="8" t="s">
        <v>561</v>
      </c>
      <c r="C85" s="8"/>
      <c r="D85" s="8" t="s">
        <v>562</v>
      </c>
      <c r="E85" s="8" t="s">
        <v>889</v>
      </c>
    </row>
    <row r="86" customFormat="false" ht="25.5" hidden="false" customHeight="true" outlineLevel="0" collapsed="false">
      <c r="A86" s="8" t="n">
        <v>2</v>
      </c>
      <c r="B86" s="8" t="s">
        <v>556</v>
      </c>
      <c r="C86" s="8"/>
      <c r="D86" s="8" t="s">
        <v>557</v>
      </c>
      <c r="E86" s="8" t="s">
        <v>890</v>
      </c>
    </row>
    <row r="87" customFormat="false" ht="25.5" hidden="false" customHeight="true" outlineLevel="0" collapsed="false">
      <c r="A87" s="8" t="n">
        <v>3</v>
      </c>
      <c r="B87" s="8" t="s">
        <v>572</v>
      </c>
      <c r="C87" s="8"/>
      <c r="D87" s="8" t="s">
        <v>573</v>
      </c>
      <c r="E87" s="8" t="s">
        <v>891</v>
      </c>
    </row>
    <row r="88" customFormat="false" ht="15" hidden="false" customHeight="false" outlineLevel="0" collapsed="false">
      <c r="A88" s="1"/>
      <c r="B88" s="1"/>
      <c r="C88" s="1"/>
      <c r="D88" s="1"/>
      <c r="E88" s="1"/>
    </row>
    <row r="89" customFormat="false" ht="77.6" hidden="false" customHeight="false" outlineLevel="0" collapsed="false">
      <c r="A89" s="4" t="s">
        <v>892</v>
      </c>
      <c r="B89" s="1"/>
      <c r="C89" s="1"/>
      <c r="D89" s="1"/>
      <c r="E89" s="1"/>
    </row>
    <row r="90" customFormat="false" ht="30" hidden="false" customHeight="true" outlineLevel="0" collapsed="false">
      <c r="A90" s="6"/>
      <c r="B90" s="6" t="s">
        <v>137</v>
      </c>
      <c r="C90" s="6" t="s">
        <v>138</v>
      </c>
      <c r="D90" s="6" t="s">
        <v>139</v>
      </c>
      <c r="E90" s="6" t="s">
        <v>140</v>
      </c>
    </row>
    <row r="91" customFormat="false" ht="25.5" hidden="false" customHeight="true" outlineLevel="0" collapsed="false">
      <c r="A91" s="8"/>
      <c r="B91" s="8" t="s">
        <v>110</v>
      </c>
      <c r="C91" s="8" t="n">
        <v>29</v>
      </c>
      <c r="D91" s="8" t="s">
        <v>141</v>
      </c>
      <c r="E91" s="8" t="s">
        <v>142</v>
      </c>
    </row>
    <row r="92" customFormat="false" ht="25.5" hidden="false" customHeight="true" outlineLevel="0" collapsed="false">
      <c r="A92" s="8"/>
      <c r="B92" s="8" t="s">
        <v>143</v>
      </c>
      <c r="C92" s="8" t="n">
        <v>1</v>
      </c>
      <c r="D92" s="8" t="s">
        <v>141</v>
      </c>
      <c r="E92" s="8" t="s">
        <v>144</v>
      </c>
    </row>
    <row r="93" customFormat="false" ht="25.5" hidden="false" customHeight="true" outlineLevel="0" collapsed="false">
      <c r="A93" s="8"/>
      <c r="B93" s="8" t="s">
        <v>145</v>
      </c>
      <c r="C93" s="8" t="n">
        <v>48</v>
      </c>
      <c r="D93" s="8" t="s">
        <v>141</v>
      </c>
      <c r="E93" s="8" t="s">
        <v>146</v>
      </c>
    </row>
    <row r="94" customFormat="false" ht="25.5" hidden="false" customHeight="true" outlineLevel="0" collapsed="false">
      <c r="A94" s="8"/>
      <c r="B94" s="8" t="s">
        <v>147</v>
      </c>
      <c r="C94" s="8" t="n">
        <v>45</v>
      </c>
      <c r="D94" s="8" t="s">
        <v>148</v>
      </c>
      <c r="E94" s="8" t="s">
        <v>149</v>
      </c>
    </row>
    <row r="95" customFormat="false" ht="25.5" hidden="false" customHeight="true" outlineLevel="0" collapsed="false">
      <c r="A95" s="8"/>
      <c r="B95" s="8" t="s">
        <v>150</v>
      </c>
      <c r="C95" s="8" t="n">
        <v>90</v>
      </c>
      <c r="D95" s="8" t="s">
        <v>148</v>
      </c>
      <c r="E95" s="8" t="s">
        <v>151</v>
      </c>
    </row>
    <row r="96" customFormat="false" ht="25.5" hidden="false" customHeight="true" outlineLevel="0" collapsed="false">
      <c r="A96" s="8"/>
      <c r="B96" s="8" t="s">
        <v>152</v>
      </c>
      <c r="C96" s="8" t="n">
        <v>240</v>
      </c>
      <c r="D96" s="8" t="s">
        <v>148</v>
      </c>
      <c r="E96" s="8" t="s">
        <v>153</v>
      </c>
    </row>
    <row r="97" customFormat="false" ht="25.5" hidden="false" customHeight="true" outlineLevel="0" collapsed="false">
      <c r="A97" s="8"/>
      <c r="B97" s="8" t="s">
        <v>154</v>
      </c>
      <c r="C97" s="8" t="n">
        <v>1440</v>
      </c>
      <c r="D97" s="8" t="s">
        <v>148</v>
      </c>
      <c r="E97" s="8" t="s">
        <v>155</v>
      </c>
    </row>
  </sheetData>
  <mergeCells count="2">
    <mergeCell ref="A1:E1"/>
    <mergeCell ref="A2:E2"/>
  </mergeCells>
  <printOptions headings="false" gridLines="false" gridLinesSet="true" horizontalCentered="false" verticalCentered="false"/>
  <pageMargins left="0.4" right="0.4" top="0.5" bottom="0.5"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&amp;L&amp;"Arial,Regular"&amp;8 &amp;K55605aTIR-CMM model v1.0&amp;C&amp;"Arial,Regular"&amp;8 &amp;K55605aReza Adineh, UTIOM&amp;R&amp;"Arial,Regular"&amp;8 &amp;K55605a&amp;P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Company>UTIOM</Company>
  <Manager>Reza Adineh, UTIOM</Manager>
  <HyperlinksChanged>false</HyperlinksChanged>
  <LinksUpToDate>false</LinksUpToDate>
  <SharedDoc>false</SharedDoc>
  <ScaleCrop>false</ScaleCrop>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Assessment</cp:category>
  <dcterms:created xsi:type="dcterms:W3CDTF">2026-08-24T18:23:37Z</dcterms:created>
  <dc:creator>Reza Adineh, UTIOM</dc:creator>
  <dc:description>Offline assessment workbook for TIR-CMM v0.2 — eight domains, 58 sub-capabilities, containment lattice, tempo arithmetic and integrity constraints R1-R7.</dc:description>
  <cp:keywords>TIR-CMM incident response maturity model UTIOM TID-CMM</cp:keywords>
  <dc:language>en-US</dc:language>
  <cp:lastModifiedBy>Reza Adineh, UTIOM</cp:lastModifiedBy>
  <dcterms:modified xsi:type="dcterms:W3CDTF">2026-08-24T18:23:37Z</dcterms:modified>
  <cp:revision>1</cp:revision>
  <dc:subject>Threat-Informed Response Capability Maturity Model, version 0.2</dc:subject>
  <dc:title>TIR-CMM assessment workbook</dc:title>
</cp:coreProperties>
</file>

<file path=docProps/custom.xml><?xml version="1.0" encoding="utf-8"?>
<Properties xmlns="http://schemas.openxmlformats.org/officeDocument/2006/custom-properties" xmlns:vt="http://schemas.openxmlformats.org/officeDocument/2006/docPropsVTypes"/>
</file>